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07.12" sheetId="3" state="hidden" r:id="rId3"/>
    <sheet name="план 2013" sheetId="4" state="hidden" r:id="rId4"/>
    <sheet name="отчет 2012(07-12)" sheetId="5" r:id="rId5"/>
    <sheet name="накопит отчет" sheetId="6" state="hidden" r:id="rId6"/>
  </sheets>
  <definedNames>
    <definedName name="_xlnm.Print_Area" localSheetId="1">'план 2012'!$A$1:$H$38</definedName>
  </definedNames>
  <calcPr fullCalcOnLoad="1"/>
</workbook>
</file>

<file path=xl/sharedStrings.xml><?xml version="1.0" encoding="utf-8"?>
<sst xmlns="http://schemas.openxmlformats.org/spreadsheetml/2006/main" count="455" uniqueCount="172">
  <si>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</si>
  <si>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</si>
  <si>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</si>
  <si>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</si>
  <si>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</si>
  <si>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</si>
  <si>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</si>
  <si>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</si>
  <si>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</si>
  <si>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</si>
  <si>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</si>
  <si>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</si>
  <si>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</si>
  <si>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</si>
  <si>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</si>
  <si>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</si>
  <si>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</si>
  <si>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</si>
  <si>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</si>
  <si>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</si>
  <si>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</si>
  <si>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</si>
  <si>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</si>
  <si>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</si>
  <si>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</si>
  <si>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</si>
  <si>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</si>
  <si>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</si>
  <si>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</si>
  <si>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</si>
  <si>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</si>
  <si>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</si>
  <si>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</si>
  <si>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</si>
  <si>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</si>
  <si>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</si>
  <si>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</si>
  <si>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</si>
  <si>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</si>
  <si>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</si>
  <si>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</si>
  <si>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5"</t>
  </si>
  <si>
    <t>ООО  "ОЖКС № 5"</t>
  </si>
  <si>
    <t>Адрес: Добровольского, 14 а</t>
  </si>
  <si>
    <t>А.А. Шевенионова</t>
  </si>
  <si>
    <t>1.</t>
  </si>
  <si>
    <t>2.</t>
  </si>
  <si>
    <t>кв.м</t>
  </si>
  <si>
    <t xml:space="preserve"> </t>
  </si>
  <si>
    <t>Тариф 
на 
1 кв.м.
руб.</t>
  </si>
  <si>
    <t>Стоимость работ
руб.</t>
  </si>
  <si>
    <t>Расчеты с населением по планируемому тарифу</t>
  </si>
  <si>
    <t xml:space="preserve"> - начислено за содержание и текущий ремонт общего имущества жилого дома  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</si>
  <si>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</si>
  <si>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</si>
  <si>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</si>
  <si>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 xml:space="preserve">Капитальный ремонт </t>
  </si>
  <si>
    <t>2.1.</t>
  </si>
  <si>
    <t>2.2.</t>
  </si>
  <si>
    <t>2.3.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</si>
  <si>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</si>
  <si>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</si>
  <si>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</si>
  <si>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</si>
  <si>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</si>
  <si>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</si>
  <si>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</si>
  <si>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</si>
  <si>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</si>
  <si>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</si>
  <si>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</si>
  <si>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</si>
  <si>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</si>
  <si>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</si>
  <si>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</si>
  <si>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 xml:space="preserve">Тех. обслуживание, подготовка дома к сезонной эксплуатации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</si>
  <si>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</si>
  <si>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</si>
  <si>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</si>
  <si>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</si>
  <si>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</si>
  <si>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</si>
  <si>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</si>
  <si>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Директор ООО "ОЖКС № 5"                                               О.А. Трушкина                        </t>
  </si>
  <si>
    <t>Принято: Старший по дому                                                   М.П. Келлер</t>
  </si>
  <si>
    <t>Претензий по управлению нет (да)</t>
  </si>
  <si>
    <t xml:space="preserve">S нежилых </t>
  </si>
  <si>
    <t xml:space="preserve">помещений, 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</si>
  <si>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</si>
  <si>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</si>
  <si>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</si>
  <si>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</si>
  <si>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</si>
  <si>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r>
      <t xml:space="preserve">результат
 </t>
    </r>
    <r>
      <rPr>
        <b/>
        <sz val="11"/>
        <color indexed="10"/>
        <rFont val="Times New Roman"/>
        <family val="1"/>
      </rPr>
      <t>за год</t>
    </r>
    <r>
      <rPr>
        <b/>
        <sz val="11"/>
        <rFont val="Times New Roman"/>
        <family val="1"/>
      </rPr>
      <t xml:space="preserve">
(+эконом., 
-перерасх.)</t>
    </r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</si>
  <si>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</si>
  <si>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</si>
  <si>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</si>
  <si>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</si>
  <si>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</si>
  <si>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</si>
  <si>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</si>
  <si>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</si>
  <si>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</si>
  <si>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</si>
  <si>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</si>
  <si>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</si>
  <si>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</si>
  <si>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</si>
  <si>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</si>
  <si>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</si>
  <si>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</si>
  <si>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</si>
  <si>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Итого</t>
  </si>
  <si>
    <t>ОТЧЕТ
за  2011 г. о выполнении условий  договора управления МКД № 600/5 от 28.03.2008 г., 
заключенного между ООО "ОЖКС № 5" и собственниками многоквартирного дома
по адресу:  ул. Добровольского, 14 а</t>
  </si>
  <si>
    <t xml:space="preserve">        Представитель собственников - старший по дому Шевенионова А.А., с одной стороны и Общество с Ограниченной 
Ответственностью "Октябрьский Жилкомсервис № 5" в лице директора Трушкиной О.А., действующей на основании 
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</si>
  <si>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</si>
  <si>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>Сбор, вывоз  бытового мусора, содержание  контейнерных площадок</t>
  </si>
  <si>
    <t>Смета доходов и расходов на 2012 г.
согласно договора управления МКД № 600/5 от 28.03.2008 г., заключенного 
между ООО "ОЖКС № 5" и собственниками многоквартирного дома</t>
  </si>
  <si>
    <t>Справочно:   индекс увеличения тарифа по году 103%</t>
  </si>
  <si>
    <t>- с 1 января 2012 г. тариф остается на уровне 2011 г.</t>
  </si>
  <si>
    <t>- с 1 июля 2012г.к тарифу применен индекс 106%</t>
  </si>
  <si>
    <t>Директор ООО "ОЖКС № 5"                                               О.А.Трушкина</t>
  </si>
  <si>
    <t>по плану работ</t>
  </si>
  <si>
    <t xml:space="preserve">         Приложение №7 к Договору 
на оказание услуг и  выполнение работ   
по содержанию, текущему и капитальному ремонту  
общего имущества МКД
 № ___ от "____"___________2012г.</t>
  </si>
  <si>
    <t>Расчет стоимости договора и тарифа 1 м2 на 2012 г.</t>
  </si>
  <si>
    <t>90, 1 нежилое помещение</t>
  </si>
  <si>
    <t>1.1.</t>
  </si>
  <si>
    <t>1.2.</t>
  </si>
  <si>
    <t>1.3.</t>
  </si>
  <si>
    <t>* в случае уточнения площадей возможно изменение стоимости</t>
  </si>
  <si>
    <t xml:space="preserve">           Представитель собственников</t>
  </si>
  <si>
    <t xml:space="preserve">            ________________________</t>
  </si>
  <si>
    <t xml:space="preserve">Директор ООО "ОЖКС № 5"                                                                       </t>
  </si>
  <si>
    <t>________________ О.А.Трушкина</t>
  </si>
  <si>
    <t>Тариф с 1 июля 2012 г. - 11,21 руб., капитальный ремонт - 0,80 руб.</t>
  </si>
  <si>
    <t>Тариф 
на 
1 кв.м. июль-декабрь 2012г.
руб.</t>
  </si>
  <si>
    <t>Стоимость работ
июль-декабрь 2012г. руб.</t>
  </si>
  <si>
    <t>5=гр.4*Sдома*6мес.</t>
  </si>
  <si>
    <t>S жилых и нежилых помещений.,кв.м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</si>
  <si>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</si>
  <si>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</si>
  <si>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</si>
  <si>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6=(гр.4*Sдома*6мес)+(гр.5*Sдома*6мес)</t>
  </si>
  <si>
    <t xml:space="preserve"> - ожидаемый сбор на содержание и текущий ремонт общего имущества жилого дома</t>
  </si>
  <si>
    <t>Сбор, вывоз  бытового мусора</t>
  </si>
  <si>
    <t>Дворовое освещение</t>
  </si>
  <si>
    <t>ООО "ОЖКС № 3"</t>
  </si>
  <si>
    <t xml:space="preserve">Управление  </t>
  </si>
  <si>
    <t>ООО  "ОЖКС № 3"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</si>
  <si>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</si>
  <si>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Смета доходов и расходов  на  2013 г.
согласно договора на оказание услуг МКД № 21/5 от 30.06.2012г., заключенного 
между ООО "ОЖКС № 5" и собственниками многоквартирного дома по адресу ул. Добровольского 14А</t>
  </si>
  <si>
    <t>S жилых и нежилых помещений, кв.м</t>
  </si>
  <si>
    <t xml:space="preserve"> - прочие доходы </t>
  </si>
  <si>
    <t>1 раз/неделю-подметание, 1 раз/месяц-влажная уборка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</si>
  <si>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</si>
  <si>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 Текущий ремонт общего имущества </t>
  </si>
  <si>
    <t xml:space="preserve">Принято:                                                 </t>
  </si>
  <si>
    <t>__________________</t>
  </si>
  <si>
    <t>Совет МКД</t>
  </si>
  <si>
    <t>Адрес:ул. Добровольского, 14а</t>
  </si>
  <si>
    <t>ОТЧЕТ
с 01.07.2012 г по 31.12.2012г. О выполнении договора на оказание услуг МКД № 21/5 от 30.06.2012г., 
заключенного между ООО "ОЖКС № 5" и собственниками многоквартирного дома
по адресу:  ул. Добровольского, 14а</t>
  </si>
  <si>
    <t xml:space="preserve">        Совет МКД в лице______________________, с одной стороны и Общество с Ограниченной 
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с 01.07.2012 г по 31.12.2012г.   </t>
  </si>
  <si>
    <t>Тариф 01.07.12г-31.12.12г.</t>
  </si>
  <si>
    <t>Сумма с 01.07.12г.-31.12.12г., руб.</t>
  </si>
  <si>
    <t xml:space="preserve">Финансовый результат с 01.07.12г. по 31.12.12г.(+ экономия,- перерасход)                                                      </t>
  </si>
  <si>
    <t>Сальдо
 на 01.07
+экономия
-перерасход</t>
  </si>
  <si>
    <t>за 6 мес 2012г.</t>
  </si>
  <si>
    <t xml:space="preserve">Директор ООО "ОЖКС № 5"                                 </t>
  </si>
  <si>
    <t xml:space="preserve">____________ О.А. Трушкина                              </t>
  </si>
  <si>
    <t>_______________/___________/</t>
  </si>
  <si>
    <t>ОТЧЕТ
по договору оказания услуг МКД № 21/5 от 30.06.2012г, 
заключенного между ООО "ОЖКС № 5" и собственниками многоквартирного дома по адресу:  ул. Добровольского, 14 а</t>
  </si>
  <si>
    <t>Директор ООО "ОЖКС № 5" ________________________________ О. А. Трушкина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</si>
</sst>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0" fontId="2" fillId="0" borderId="29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70" fontId="5" fillId="0" borderId="20" xfId="0" applyNumberFormat="1" applyFont="1" applyBorder="1" applyAlignment="1">
      <alignment horizontal="center" vertical="center" wrapText="1"/>
    </xf>
    <xf numFmtId="170" fontId="5" fillId="0" borderId="29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5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2" fontId="2" fillId="25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3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0" fillId="0" borderId="1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24" borderId="11" xfId="0" applyFont="1" applyFill="1" applyBorder="1" applyAlignment="1">
      <alignment vertical="center" wrapText="1"/>
    </xf>
    <xf numFmtId="0" fontId="0" fillId="24" borderId="23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1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4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J1"/>
    </sheetView>
  </sheetViews>
  <sheetFormatPr defaultColWidth="9.00390625" defaultRowHeight="15.75"/>
  <cols>
    <col min="1" max="1" width="5.625" style="0" customWidth="1"/>
    <col min="2" max="2" width="27.75390625" style="0" customWidth="1"/>
    <col min="3" max="3" width="4.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7.00390625" style="0" hidden="1" customWidth="1"/>
    <col min="8" max="8" width="11.625" style="0" customWidth="1"/>
    <col min="9" max="9" width="11.75390625" style="0" customWidth="1"/>
    <col min="10" max="10" width="11.625" style="0" customWidth="1"/>
  </cols>
  <sheetData>
    <row r="1" spans="1:11" ht="78.75" customHeight="1">
      <c r="A1" s="193" t="s">
        <v>113</v>
      </c>
      <c r="B1" s="193"/>
      <c r="C1" s="193"/>
      <c r="D1" s="193"/>
      <c r="E1" s="193"/>
      <c r="F1" s="193"/>
      <c r="G1" s="193"/>
      <c r="H1" s="193"/>
      <c r="I1" s="193"/>
      <c r="J1" s="193"/>
      <c r="K1" s="73"/>
    </row>
    <row r="2" spans="1:11" ht="52.5" customHeight="1">
      <c r="A2" s="194" t="s">
        <v>114</v>
      </c>
      <c r="B2" s="194"/>
      <c r="C2" s="194"/>
      <c r="D2" s="194"/>
      <c r="E2" s="194"/>
      <c r="F2" s="194"/>
      <c r="G2" s="194"/>
      <c r="H2" s="194"/>
      <c r="I2" s="194"/>
      <c r="J2" s="194"/>
      <c r="K2" s="74"/>
    </row>
    <row r="3" spans="2:9" ht="18.75">
      <c r="B3" s="1" t="s">
        <v>43</v>
      </c>
      <c r="C3" s="2"/>
      <c r="D3" s="2" t="s">
        <v>0</v>
      </c>
      <c r="E3" s="15">
        <v>4469.5</v>
      </c>
      <c r="F3" s="2"/>
      <c r="I3" s="72">
        <v>60.6</v>
      </c>
    </row>
    <row r="4" spans="2:9" ht="15.75">
      <c r="B4" s="3" t="s">
        <v>1</v>
      </c>
      <c r="C4" s="19">
        <v>5</v>
      </c>
      <c r="D4" s="2" t="s">
        <v>2</v>
      </c>
      <c r="E4" s="16">
        <v>90</v>
      </c>
      <c r="F4" s="2"/>
      <c r="I4" t="s">
        <v>47</v>
      </c>
    </row>
    <row r="5" spans="2:9" ht="15.75">
      <c r="B5" s="3" t="s">
        <v>3</v>
      </c>
      <c r="C5" s="4">
        <v>6</v>
      </c>
      <c r="D5" s="2" t="s">
        <v>4</v>
      </c>
      <c r="E5" s="2" t="s">
        <v>16</v>
      </c>
      <c r="F5" s="2"/>
      <c r="G5" s="2"/>
      <c r="I5" s="2" t="s">
        <v>86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87</v>
      </c>
    </row>
    <row r="7" spans="1:10" ht="37.5" customHeight="1">
      <c r="A7" s="11" t="s">
        <v>37</v>
      </c>
      <c r="B7" s="164" t="s">
        <v>60</v>
      </c>
      <c r="C7" s="165"/>
      <c r="D7" s="166"/>
      <c r="E7" s="7" t="s">
        <v>6</v>
      </c>
      <c r="F7" s="7" t="s">
        <v>7</v>
      </c>
      <c r="G7" s="6" t="s">
        <v>21</v>
      </c>
      <c r="H7" s="195" t="s">
        <v>61</v>
      </c>
      <c r="I7" s="196"/>
      <c r="J7" s="197"/>
    </row>
    <row r="8" spans="1:10" ht="15.75" customHeight="1">
      <c r="A8" s="12">
        <v>1</v>
      </c>
      <c r="B8" s="184"/>
      <c r="C8" s="185"/>
      <c r="D8" s="185"/>
      <c r="E8" s="185"/>
      <c r="F8" s="186"/>
      <c r="G8" s="42"/>
      <c r="H8" s="21" t="s">
        <v>62</v>
      </c>
      <c r="I8" s="43" t="s">
        <v>63</v>
      </c>
      <c r="J8" s="43" t="s">
        <v>64</v>
      </c>
    </row>
    <row r="9" spans="1:10" ht="15.75" customHeight="1">
      <c r="A9" s="12"/>
      <c r="B9" s="184" t="s">
        <v>65</v>
      </c>
      <c r="C9" s="185"/>
      <c r="D9" s="185"/>
      <c r="E9" s="185"/>
      <c r="F9" s="186"/>
      <c r="G9" s="21"/>
      <c r="H9" s="21"/>
      <c r="I9" s="21"/>
      <c r="J9" s="43"/>
    </row>
    <row r="10" spans="1:10" ht="28.5" customHeight="1">
      <c r="A10" s="44"/>
      <c r="B10" s="187" t="s">
        <v>66</v>
      </c>
      <c r="C10" s="188"/>
      <c r="D10" s="188"/>
      <c r="E10" s="188"/>
      <c r="F10" s="189"/>
      <c r="G10" s="45"/>
      <c r="H10" s="46">
        <v>535502.88</v>
      </c>
      <c r="I10" s="17"/>
      <c r="J10" s="47">
        <f>H10+I10</f>
        <v>535502.88</v>
      </c>
    </row>
    <row r="11" spans="1:10" ht="15.75" customHeight="1">
      <c r="A11" s="44"/>
      <c r="B11" s="187" t="s">
        <v>67</v>
      </c>
      <c r="C11" s="188"/>
      <c r="D11" s="188"/>
      <c r="E11" s="188"/>
      <c r="F11" s="189"/>
      <c r="G11" s="45"/>
      <c r="H11" s="47">
        <v>31497.04</v>
      </c>
      <c r="I11" s="17"/>
      <c r="J11" s="47">
        <f>H11+I11</f>
        <v>31497.04</v>
      </c>
    </row>
    <row r="12" spans="1:10" ht="15.75" customHeight="1">
      <c r="A12" s="12"/>
      <c r="B12" s="187" t="s">
        <v>68</v>
      </c>
      <c r="C12" s="188"/>
      <c r="D12" s="188"/>
      <c r="E12" s="188"/>
      <c r="F12" s="189"/>
      <c r="G12" s="45"/>
      <c r="H12" s="48"/>
      <c r="I12" s="49">
        <v>10316.4</v>
      </c>
      <c r="J12" s="47">
        <f>H12+I12</f>
        <v>10316.4</v>
      </c>
    </row>
    <row r="13" spans="1:10" ht="15.75" customHeight="1">
      <c r="A13" s="12"/>
      <c r="B13" s="187" t="s">
        <v>69</v>
      </c>
      <c r="C13" s="188"/>
      <c r="D13" s="188"/>
      <c r="E13" s="188"/>
      <c r="F13" s="189"/>
      <c r="G13" s="45"/>
      <c r="H13" s="48"/>
      <c r="I13" s="49">
        <v>0</v>
      </c>
      <c r="J13" s="47">
        <f>H13+I13</f>
        <v>0</v>
      </c>
    </row>
    <row r="14" spans="1:10" ht="15.75" customHeight="1">
      <c r="A14" s="12"/>
      <c r="B14" s="190" t="s">
        <v>70</v>
      </c>
      <c r="C14" s="191"/>
      <c r="D14" s="191"/>
      <c r="E14" s="191"/>
      <c r="F14" s="192"/>
      <c r="G14" s="45"/>
      <c r="H14" s="40">
        <f>SUM(H10:H12)</f>
        <v>566999.92</v>
      </c>
      <c r="I14" s="50">
        <f>SUM(I12:I13)</f>
        <v>10316.4</v>
      </c>
      <c r="J14" s="40">
        <f>SUM(J10:J13)</f>
        <v>577316.3200000001</v>
      </c>
    </row>
    <row r="15" spans="1:10" ht="15.75" customHeight="1">
      <c r="A15" s="12">
        <v>2</v>
      </c>
      <c r="B15" s="184" t="s">
        <v>38</v>
      </c>
      <c r="C15" s="185"/>
      <c r="D15" s="185"/>
      <c r="E15" s="185"/>
      <c r="F15" s="186"/>
      <c r="G15" s="45"/>
      <c r="H15" s="48"/>
      <c r="I15" s="17"/>
      <c r="J15" s="51"/>
    </row>
    <row r="16" spans="1:10" ht="18.75" customHeight="1">
      <c r="A16" s="12" t="s">
        <v>57</v>
      </c>
      <c r="B16" s="52" t="s">
        <v>39</v>
      </c>
      <c r="C16" s="52"/>
      <c r="D16" s="52"/>
      <c r="E16" s="52"/>
      <c r="F16" s="53"/>
      <c r="G16" s="54"/>
      <c r="H16" s="54"/>
      <c r="I16" s="41"/>
      <c r="J16" s="43"/>
    </row>
    <row r="17" spans="1:10" ht="28.5" customHeight="1">
      <c r="A17" s="55"/>
      <c r="B17" s="178" t="s">
        <v>116</v>
      </c>
      <c r="C17" s="179"/>
      <c r="D17" s="180"/>
      <c r="E17" s="56" t="s">
        <v>31</v>
      </c>
      <c r="F17" s="56" t="s">
        <v>23</v>
      </c>
      <c r="G17" s="57">
        <v>1.06</v>
      </c>
      <c r="H17" s="58">
        <f>ROUND(G17*$E$3*12,2)</f>
        <v>56852.04</v>
      </c>
      <c r="I17" s="58">
        <f>$I$12*0.08</f>
        <v>825.312</v>
      </c>
      <c r="J17" s="50">
        <f>SUM(H17:I17)</f>
        <v>57677.352</v>
      </c>
    </row>
    <row r="18" spans="1:10" ht="15.75" customHeight="1">
      <c r="A18" s="12"/>
      <c r="B18" s="157" t="s">
        <v>17</v>
      </c>
      <c r="C18" s="158"/>
      <c r="D18" s="159"/>
      <c r="E18" s="56" t="s">
        <v>31</v>
      </c>
      <c r="F18" s="56" t="s">
        <v>18</v>
      </c>
      <c r="G18" s="57">
        <v>0.28</v>
      </c>
      <c r="H18" s="58">
        <f>ROUND(G18*$E$3*12,2)</f>
        <v>15017.52</v>
      </c>
      <c r="I18" s="58">
        <f>$I$12*0.02</f>
        <v>206.328</v>
      </c>
      <c r="J18" s="50">
        <f>SUM(H18:I18)</f>
        <v>15223.848</v>
      </c>
    </row>
    <row r="19" spans="1:10" ht="15.75" customHeight="1">
      <c r="A19" s="12"/>
      <c r="B19" s="160" t="s">
        <v>22</v>
      </c>
      <c r="C19" s="152"/>
      <c r="D19" s="153"/>
      <c r="E19" s="14" t="s">
        <v>71</v>
      </c>
      <c r="F19" s="14" t="s">
        <v>19</v>
      </c>
      <c r="G19" s="57">
        <v>0.39</v>
      </c>
      <c r="H19" s="58">
        <f>J19-I19</f>
        <v>10489.902</v>
      </c>
      <c r="I19" s="58">
        <f>$I$12*0.07</f>
        <v>722.148</v>
      </c>
      <c r="J19" s="59">
        <v>11212.05</v>
      </c>
    </row>
    <row r="20" spans="1:10" ht="15.75" customHeight="1">
      <c r="A20" s="55"/>
      <c r="B20" s="178" t="s">
        <v>30</v>
      </c>
      <c r="C20" s="179"/>
      <c r="D20" s="180"/>
      <c r="E20" s="60" t="s">
        <v>9</v>
      </c>
      <c r="F20" s="60" t="s">
        <v>10</v>
      </c>
      <c r="G20" s="57">
        <v>0.51</v>
      </c>
      <c r="H20" s="58">
        <f>ROUND(G20*$E$3*12,2)</f>
        <v>27353.34</v>
      </c>
      <c r="I20" s="58">
        <f>$I$12*0.04</f>
        <v>412.656</v>
      </c>
      <c r="J20" s="50">
        <f>SUM(H20:I20)</f>
        <v>27765.996</v>
      </c>
    </row>
    <row r="21" spans="1:10" ht="77.25" customHeight="1">
      <c r="A21" s="12"/>
      <c r="B21" s="160" t="s">
        <v>26</v>
      </c>
      <c r="C21" s="152"/>
      <c r="D21" s="153"/>
      <c r="E21" s="14" t="s">
        <v>72</v>
      </c>
      <c r="F21" s="14" t="s">
        <v>24</v>
      </c>
      <c r="G21" s="57">
        <v>0.12</v>
      </c>
      <c r="H21" s="58">
        <f>J21-I21</f>
        <v>6749.916</v>
      </c>
      <c r="I21" s="58">
        <f>$I$12*0.01</f>
        <v>103.164</v>
      </c>
      <c r="J21" s="59">
        <v>6853.08</v>
      </c>
    </row>
    <row r="22" spans="1:10" ht="15.75" customHeight="1">
      <c r="A22" s="38"/>
      <c r="B22" s="181" t="s">
        <v>11</v>
      </c>
      <c r="C22" s="182"/>
      <c r="D22" s="183"/>
      <c r="E22" s="34" t="s">
        <v>9</v>
      </c>
      <c r="F22" s="14"/>
      <c r="G22" s="57"/>
      <c r="H22" s="58"/>
      <c r="I22" s="58"/>
      <c r="J22" s="59"/>
    </row>
    <row r="23" spans="1:10" ht="15.75" customHeight="1">
      <c r="A23" s="55"/>
      <c r="B23" s="160" t="s">
        <v>25</v>
      </c>
      <c r="C23" s="152"/>
      <c r="D23" s="153"/>
      <c r="E23" s="17" t="s">
        <v>13</v>
      </c>
      <c r="F23" s="17" t="s">
        <v>14</v>
      </c>
      <c r="G23" s="57">
        <v>0.05</v>
      </c>
      <c r="H23" s="58">
        <f>J23-I23</f>
        <v>3675.7008</v>
      </c>
      <c r="I23" s="58">
        <f>$I$12*0.003</f>
        <v>30.9492</v>
      </c>
      <c r="J23" s="59">
        <v>3706.65</v>
      </c>
    </row>
    <row r="24" spans="1:10" ht="28.5" customHeight="1">
      <c r="A24" s="12"/>
      <c r="B24" s="160" t="s">
        <v>73</v>
      </c>
      <c r="C24" s="152"/>
      <c r="D24" s="153"/>
      <c r="E24" s="56" t="s">
        <v>34</v>
      </c>
      <c r="F24" s="61" t="s">
        <v>74</v>
      </c>
      <c r="G24" s="57">
        <v>2.15</v>
      </c>
      <c r="H24" s="58">
        <f aca="true" t="shared" si="0" ref="H24:H29">ROUND(G24*$E$3*12,2)</f>
        <v>115313.1</v>
      </c>
      <c r="I24" s="58">
        <f>$I$12*0.19</f>
        <v>1960.116</v>
      </c>
      <c r="J24" s="50">
        <f aca="true" t="shared" si="1" ref="J24:J29">SUM(H24:I24)</f>
        <v>117273.216</v>
      </c>
    </row>
    <row r="25" spans="1:10" ht="28.5" customHeight="1">
      <c r="A25" s="12"/>
      <c r="B25" s="157" t="s">
        <v>15</v>
      </c>
      <c r="C25" s="158"/>
      <c r="D25" s="159"/>
      <c r="E25" s="56" t="s">
        <v>34</v>
      </c>
      <c r="F25" s="61" t="s">
        <v>74</v>
      </c>
      <c r="G25" s="57">
        <v>0.44</v>
      </c>
      <c r="H25" s="62">
        <f t="shared" si="0"/>
        <v>23598.96</v>
      </c>
      <c r="I25" s="58">
        <v>0</v>
      </c>
      <c r="J25" s="50">
        <f t="shared" si="1"/>
        <v>23598.96</v>
      </c>
    </row>
    <row r="26" spans="1:10" ht="28.5" customHeight="1">
      <c r="A26" s="12"/>
      <c r="B26" s="173" t="s">
        <v>75</v>
      </c>
      <c r="C26" s="174"/>
      <c r="D26" s="155"/>
      <c r="E26" s="56" t="s">
        <v>34</v>
      </c>
      <c r="F26" s="61" t="s">
        <v>74</v>
      </c>
      <c r="G26" s="63">
        <f>3.46-G27-G28</f>
        <v>3.46</v>
      </c>
      <c r="H26" s="62">
        <f t="shared" si="0"/>
        <v>185573.64</v>
      </c>
      <c r="I26" s="62">
        <f>$I$12*0.2</f>
        <v>2063.28</v>
      </c>
      <c r="J26" s="50">
        <f t="shared" si="1"/>
        <v>187636.92</v>
      </c>
    </row>
    <row r="27" spans="1:10" ht="28.5" customHeight="1">
      <c r="A27" s="55"/>
      <c r="B27" s="160" t="s">
        <v>76</v>
      </c>
      <c r="C27" s="152"/>
      <c r="D27" s="153"/>
      <c r="E27" s="56" t="s">
        <v>34</v>
      </c>
      <c r="F27" s="61" t="s">
        <v>74</v>
      </c>
      <c r="G27" s="63">
        <v>0</v>
      </c>
      <c r="H27" s="62">
        <f t="shared" si="0"/>
        <v>0</v>
      </c>
      <c r="I27" s="62">
        <v>0</v>
      </c>
      <c r="J27" s="50">
        <f t="shared" si="1"/>
        <v>0</v>
      </c>
    </row>
    <row r="28" spans="1:10" ht="15.75">
      <c r="A28" s="12"/>
      <c r="B28" s="160" t="s">
        <v>77</v>
      </c>
      <c r="C28" s="152"/>
      <c r="D28" s="153"/>
      <c r="E28" s="14" t="s">
        <v>9</v>
      </c>
      <c r="F28" s="61" t="s">
        <v>74</v>
      </c>
      <c r="G28" s="63">
        <v>0</v>
      </c>
      <c r="H28" s="62">
        <f t="shared" si="0"/>
        <v>0</v>
      </c>
      <c r="I28" s="62">
        <f>$I$12*0</f>
        <v>0</v>
      </c>
      <c r="J28" s="50">
        <f t="shared" si="1"/>
        <v>0</v>
      </c>
    </row>
    <row r="29" spans="1:10" ht="31.5">
      <c r="A29" s="12"/>
      <c r="B29" s="154" t="s">
        <v>20</v>
      </c>
      <c r="C29" s="150"/>
      <c r="D29" s="151"/>
      <c r="E29" s="56" t="s">
        <v>34</v>
      </c>
      <c r="F29" s="61" t="s">
        <v>74</v>
      </c>
      <c r="G29" s="17">
        <v>1.06</v>
      </c>
      <c r="H29" s="58">
        <f t="shared" si="0"/>
        <v>56852.04</v>
      </c>
      <c r="I29" s="58">
        <f>$I$12*0.1</f>
        <v>1031.64</v>
      </c>
      <c r="J29" s="50">
        <f t="shared" si="1"/>
        <v>57883.68</v>
      </c>
    </row>
    <row r="30" spans="1:10" ht="15.75">
      <c r="A30" s="12"/>
      <c r="B30" s="175" t="s">
        <v>78</v>
      </c>
      <c r="C30" s="176"/>
      <c r="D30" s="177"/>
      <c r="E30" s="14" t="s">
        <v>9</v>
      </c>
      <c r="F30" s="61"/>
      <c r="G30" s="17"/>
      <c r="H30" s="62"/>
      <c r="I30" s="49"/>
      <c r="J30" s="64"/>
    </row>
    <row r="31" spans="1:10" ht="28.5" customHeight="1">
      <c r="A31" s="12"/>
      <c r="B31" s="175" t="s">
        <v>79</v>
      </c>
      <c r="C31" s="176"/>
      <c r="D31" s="177"/>
      <c r="E31" s="56" t="s">
        <v>34</v>
      </c>
      <c r="F31" s="61"/>
      <c r="G31" s="17"/>
      <c r="H31" s="62"/>
      <c r="I31" s="49"/>
      <c r="J31" s="64"/>
    </row>
    <row r="32" spans="1:13" ht="15.75" customHeight="1">
      <c r="A32" s="12"/>
      <c r="B32" s="161"/>
      <c r="C32" s="162"/>
      <c r="D32" s="163"/>
      <c r="E32" s="14"/>
      <c r="F32" s="61"/>
      <c r="G32" s="17"/>
      <c r="H32" s="62"/>
      <c r="I32" s="49"/>
      <c r="J32" s="64"/>
      <c r="M32" t="s">
        <v>48</v>
      </c>
    </row>
    <row r="33" spans="1:10" ht="15.75">
      <c r="A33" s="12"/>
      <c r="B33" s="161"/>
      <c r="C33" s="162"/>
      <c r="D33" s="163"/>
      <c r="E33" s="14"/>
      <c r="F33" s="61"/>
      <c r="G33" s="17"/>
      <c r="H33" s="62"/>
      <c r="I33" s="49"/>
      <c r="J33" s="64"/>
    </row>
    <row r="34" spans="1:10" ht="15.75">
      <c r="A34" s="12"/>
      <c r="B34" s="164" t="s">
        <v>29</v>
      </c>
      <c r="C34" s="165"/>
      <c r="D34" s="166"/>
      <c r="E34" s="12"/>
      <c r="F34" s="61"/>
      <c r="G34" s="13">
        <f>SUM(G17:G29)</f>
        <v>9.520000000000001</v>
      </c>
      <c r="H34" s="40">
        <f>SUM(H17:H33)</f>
        <v>501476.15880000003</v>
      </c>
      <c r="I34" s="50">
        <f>SUM(I17:I33)</f>
        <v>7355.5932</v>
      </c>
      <c r="J34" s="40">
        <f>SUM(J17:J33)</f>
        <v>508831.75200000004</v>
      </c>
    </row>
    <row r="35" spans="1:10" ht="15.75">
      <c r="A35" s="12"/>
      <c r="B35" s="20"/>
      <c r="C35" s="86"/>
      <c r="D35" s="86"/>
      <c r="E35" s="41"/>
      <c r="F35" s="61"/>
      <c r="G35" s="13"/>
      <c r="H35" s="40"/>
      <c r="I35" s="50"/>
      <c r="J35" s="40"/>
    </row>
    <row r="36" spans="1:10" ht="15.75">
      <c r="A36" s="12"/>
      <c r="B36" s="20"/>
      <c r="C36" s="86"/>
      <c r="D36" s="86"/>
      <c r="E36" s="41"/>
      <c r="F36" s="61"/>
      <c r="G36" s="13"/>
      <c r="H36" s="40"/>
      <c r="I36" s="50"/>
      <c r="J36" s="40"/>
    </row>
    <row r="37" spans="1:10" ht="15.75">
      <c r="A37" s="12"/>
      <c r="B37" s="20"/>
      <c r="C37" s="86"/>
      <c r="D37" s="86"/>
      <c r="E37" s="41"/>
      <c r="F37" s="61"/>
      <c r="G37" s="13"/>
      <c r="H37" s="40"/>
      <c r="I37" s="50"/>
      <c r="J37" s="40"/>
    </row>
    <row r="38" spans="1:10" ht="15.75" customHeight="1">
      <c r="A38" s="12" t="s">
        <v>58</v>
      </c>
      <c r="B38" s="167" t="s">
        <v>80</v>
      </c>
      <c r="C38" s="168"/>
      <c r="D38" s="168"/>
      <c r="E38" s="169"/>
      <c r="F38" s="61" t="s">
        <v>74</v>
      </c>
      <c r="G38" s="13">
        <f>H38/E3/12</f>
        <v>1.6893202073311704</v>
      </c>
      <c r="H38" s="59">
        <v>90605</v>
      </c>
      <c r="I38" s="65">
        <v>0</v>
      </c>
      <c r="J38" s="50">
        <f>SUM(H38:I38)</f>
        <v>90605</v>
      </c>
    </row>
    <row r="39" spans="1:10" ht="15.75" customHeight="1">
      <c r="A39" s="12"/>
      <c r="B39" s="170" t="s">
        <v>40</v>
      </c>
      <c r="C39" s="171"/>
      <c r="D39" s="171"/>
      <c r="E39" s="171"/>
      <c r="F39" s="172"/>
      <c r="G39" s="13">
        <f>SUM(G34:G38)</f>
        <v>11.20932020733117</v>
      </c>
      <c r="H39" s="66">
        <f>SUM(H34:H38)</f>
        <v>592081.1588000001</v>
      </c>
      <c r="I39" s="50">
        <f>SUM(I34:I38)</f>
        <v>7355.5932</v>
      </c>
      <c r="J39" s="50">
        <f>SUM(J34:J38)</f>
        <v>599436.7520000001</v>
      </c>
    </row>
    <row r="40" spans="1:10" ht="15.75" customHeight="1">
      <c r="A40" s="12" t="s">
        <v>59</v>
      </c>
      <c r="B40" s="170" t="s">
        <v>81</v>
      </c>
      <c r="C40" s="171"/>
      <c r="D40" s="171"/>
      <c r="E40" s="171"/>
      <c r="F40" s="172"/>
      <c r="G40" s="53"/>
      <c r="H40" s="67">
        <v>0</v>
      </c>
      <c r="I40" s="59">
        <v>0</v>
      </c>
      <c r="J40" s="40">
        <f>SUM(H40:I40)</f>
        <v>0</v>
      </c>
    </row>
    <row r="41" spans="1:10" ht="15.75" customHeight="1">
      <c r="A41" s="12"/>
      <c r="B41" s="170" t="s">
        <v>82</v>
      </c>
      <c r="C41" s="171"/>
      <c r="D41" s="171"/>
      <c r="E41" s="171"/>
      <c r="F41" s="172"/>
      <c r="G41" s="13">
        <f>SUM(G39:G40)</f>
        <v>11.20932020733117</v>
      </c>
      <c r="H41" s="68">
        <f>SUM(H39:H40)</f>
        <v>592081.1588000001</v>
      </c>
      <c r="I41" s="50">
        <f>SUM(I39:I40)</f>
        <v>7355.5932</v>
      </c>
      <c r="J41" s="50">
        <f>SUM(J39:J40)</f>
        <v>599436.7520000001</v>
      </c>
    </row>
    <row r="42" spans="1:10" ht="15.75" customHeight="1">
      <c r="A42" s="12">
        <v>3</v>
      </c>
      <c r="B42" s="173" t="s">
        <v>115</v>
      </c>
      <c r="C42" s="174"/>
      <c r="D42" s="174"/>
      <c r="E42" s="174"/>
      <c r="F42" s="174"/>
      <c r="G42" s="155"/>
      <c r="H42" s="69">
        <f>H14-H41</f>
        <v>-25081.23880000005</v>
      </c>
      <c r="I42" s="58">
        <f>I14-I41</f>
        <v>2960.8067999999994</v>
      </c>
      <c r="J42" s="40">
        <f>J14-J41</f>
        <v>-22120.43200000003</v>
      </c>
    </row>
    <row r="43" spans="2:6" ht="15.75" customHeight="1">
      <c r="B43" s="18"/>
      <c r="F43" s="18"/>
    </row>
    <row r="44" spans="2:8" ht="15.75">
      <c r="B44" s="22" t="s">
        <v>83</v>
      </c>
      <c r="C44" s="22"/>
      <c r="D44" s="22"/>
      <c r="E44" s="18"/>
      <c r="F44" s="18"/>
      <c r="G44" s="75"/>
      <c r="H44" s="75"/>
    </row>
    <row r="45" spans="2:4" ht="15.75">
      <c r="B45" s="22"/>
      <c r="C45" s="22"/>
      <c r="D45" s="22"/>
    </row>
    <row r="46" spans="2:5" ht="15.75">
      <c r="B46" s="70" t="s">
        <v>84</v>
      </c>
      <c r="C46" s="70"/>
      <c r="D46" s="23"/>
      <c r="E46" s="71" t="s">
        <v>44</v>
      </c>
    </row>
    <row r="47" spans="2:4" ht="15.75" customHeight="1">
      <c r="B47" s="156" t="s">
        <v>85</v>
      </c>
      <c r="C47" s="156"/>
      <c r="D47" s="156"/>
    </row>
  </sheetData>
  <sheetProtection/>
  <mergeCells count="36">
    <mergeCell ref="A1:J1"/>
    <mergeCell ref="A2:J2"/>
    <mergeCell ref="B7:D7"/>
    <mergeCell ref="H7:J7"/>
    <mergeCell ref="B12:F12"/>
    <mergeCell ref="B13:F13"/>
    <mergeCell ref="B14:F14"/>
    <mergeCell ref="B15:F15"/>
    <mergeCell ref="B8:F8"/>
    <mergeCell ref="B9:F9"/>
    <mergeCell ref="B10:F10"/>
    <mergeCell ref="B11:F11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B40:F40"/>
    <mergeCell ref="B41:F41"/>
    <mergeCell ref="B42:G42"/>
    <mergeCell ref="B47:D47"/>
    <mergeCell ref="B33:D33"/>
    <mergeCell ref="B34:D34"/>
    <mergeCell ref="B38:E38"/>
    <mergeCell ref="B39:F39"/>
  </mergeCells>
  <printOptions/>
  <pageMargins left="0.6299212598425197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31">
      <selection activeCell="A3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4.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7.375" style="0" bestFit="1" customWidth="1"/>
    <col min="8" max="8" width="13.25390625" style="0" customWidth="1"/>
  </cols>
  <sheetData>
    <row r="1" spans="1:8" ht="65.25" customHeight="1">
      <c r="A1" s="193" t="s">
        <v>117</v>
      </c>
      <c r="B1" s="193"/>
      <c r="C1" s="193"/>
      <c r="D1" s="193"/>
      <c r="E1" s="193"/>
      <c r="F1" s="193"/>
      <c r="G1" s="193"/>
      <c r="H1" s="193"/>
    </row>
    <row r="2" spans="2:6" ht="18.75">
      <c r="B2" s="1" t="s">
        <v>43</v>
      </c>
      <c r="C2" s="2"/>
      <c r="D2" s="2" t="s">
        <v>0</v>
      </c>
      <c r="E2" s="15">
        <v>4469.5</v>
      </c>
      <c r="F2" s="2"/>
    </row>
    <row r="3" spans="2:6" ht="15.75">
      <c r="B3" s="3" t="s">
        <v>1</v>
      </c>
      <c r="C3" s="19">
        <v>5</v>
      </c>
      <c r="D3" s="2" t="s">
        <v>2</v>
      </c>
      <c r="E3" s="16">
        <v>90</v>
      </c>
      <c r="F3" s="2"/>
    </row>
    <row r="4" spans="2:7" ht="15.75">
      <c r="B4" s="3" t="s">
        <v>3</v>
      </c>
      <c r="C4" s="4">
        <v>6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3">
      <c r="A6" s="24" t="s">
        <v>37</v>
      </c>
      <c r="B6" s="211"/>
      <c r="C6" s="211"/>
      <c r="D6" s="211"/>
      <c r="E6" s="25" t="s">
        <v>6</v>
      </c>
      <c r="F6" s="25" t="s">
        <v>7</v>
      </c>
      <c r="G6" s="26" t="s">
        <v>49</v>
      </c>
      <c r="H6" s="27" t="s">
        <v>50</v>
      </c>
    </row>
    <row r="7" spans="1:8" ht="15.75" customHeight="1">
      <c r="A7" s="28"/>
      <c r="B7" s="212" t="s">
        <v>51</v>
      </c>
      <c r="C7" s="212"/>
      <c r="D7" s="212"/>
      <c r="E7" s="212"/>
      <c r="F7" s="212"/>
      <c r="G7" s="29"/>
      <c r="H7" s="30"/>
    </row>
    <row r="8" spans="1:8" ht="15.75" customHeight="1">
      <c r="A8" s="28">
        <v>1</v>
      </c>
      <c r="B8" s="206" t="s">
        <v>52</v>
      </c>
      <c r="C8" s="206"/>
      <c r="D8" s="206"/>
      <c r="E8" s="206"/>
      <c r="F8" s="206"/>
      <c r="G8" s="13">
        <f>G30</f>
        <v>9.8</v>
      </c>
      <c r="H8" s="30">
        <f>ROUND(G8*$E$2*12,0)</f>
        <v>525613</v>
      </c>
    </row>
    <row r="9" spans="1:8" ht="15.75" customHeight="1">
      <c r="A9" s="28"/>
      <c r="B9" s="206" t="s">
        <v>53</v>
      </c>
      <c r="C9" s="206"/>
      <c r="D9" s="206"/>
      <c r="E9" s="206"/>
      <c r="F9" s="206"/>
      <c r="G9" s="12">
        <v>0.78</v>
      </c>
      <c r="H9" s="30">
        <f>ROUND($E$2*G9*12,0)</f>
        <v>41835</v>
      </c>
    </row>
    <row r="10" spans="1:8" ht="18.75" customHeight="1">
      <c r="A10" s="28">
        <v>2</v>
      </c>
      <c r="B10" s="209" t="s">
        <v>38</v>
      </c>
      <c r="C10" s="209"/>
      <c r="D10" s="209"/>
      <c r="E10" s="209"/>
      <c r="F10" s="209"/>
      <c r="G10" s="31"/>
      <c r="H10" s="30"/>
    </row>
    <row r="11" spans="1:8" ht="15.75" customHeight="1">
      <c r="A11" s="28" t="s">
        <v>57</v>
      </c>
      <c r="B11" s="9" t="s">
        <v>39</v>
      </c>
      <c r="C11" s="9"/>
      <c r="D11" s="9"/>
      <c r="E11" s="9"/>
      <c r="F11" s="5"/>
      <c r="G11" s="8"/>
      <c r="H11" s="30"/>
    </row>
    <row r="12" spans="1:8" ht="27.75" customHeight="1">
      <c r="A12" s="38"/>
      <c r="B12" s="207" t="s">
        <v>54</v>
      </c>
      <c r="C12" s="207"/>
      <c r="D12" s="207"/>
      <c r="E12" s="32" t="s">
        <v>31</v>
      </c>
      <c r="F12" s="32" t="s">
        <v>23</v>
      </c>
      <c r="G12" s="33">
        <v>1.09</v>
      </c>
      <c r="H12" s="30">
        <f aca="true" t="shared" si="0" ref="H12:H31">ROUND($E$2*G12*12,0)</f>
        <v>58461</v>
      </c>
    </row>
    <row r="13" spans="1:8" ht="15.75" customHeight="1">
      <c r="A13" s="38"/>
      <c r="B13" s="207" t="s">
        <v>17</v>
      </c>
      <c r="C13" s="207"/>
      <c r="D13" s="207"/>
      <c r="E13" s="32" t="s">
        <v>31</v>
      </c>
      <c r="F13" s="32" t="s">
        <v>18</v>
      </c>
      <c r="G13" s="33">
        <v>0.29</v>
      </c>
      <c r="H13" s="30">
        <f t="shared" si="0"/>
        <v>15554</v>
      </c>
    </row>
    <row r="14" spans="1:8" ht="15.75" customHeight="1">
      <c r="A14" s="38"/>
      <c r="B14" s="206" t="s">
        <v>22</v>
      </c>
      <c r="C14" s="206"/>
      <c r="D14" s="206"/>
      <c r="E14" s="34" t="s">
        <v>8</v>
      </c>
      <c r="F14" s="34" t="s">
        <v>19</v>
      </c>
      <c r="G14" s="33">
        <v>0.4</v>
      </c>
      <c r="H14" s="30">
        <f t="shared" si="0"/>
        <v>21454</v>
      </c>
    </row>
    <row r="15" spans="1:8" ht="16.5" customHeight="1">
      <c r="A15" s="38"/>
      <c r="B15" s="210" t="s">
        <v>30</v>
      </c>
      <c r="C15" s="210"/>
      <c r="D15" s="210"/>
      <c r="E15" s="35" t="s">
        <v>9</v>
      </c>
      <c r="F15" s="35" t="s">
        <v>10</v>
      </c>
      <c r="G15" s="33">
        <v>0.53</v>
      </c>
      <c r="H15" s="30">
        <f t="shared" si="0"/>
        <v>28426</v>
      </c>
    </row>
    <row r="16" spans="1:8" ht="60" customHeight="1">
      <c r="A16" s="38"/>
      <c r="B16" s="206" t="s">
        <v>26</v>
      </c>
      <c r="C16" s="206"/>
      <c r="D16" s="206"/>
      <c r="E16" s="34" t="s">
        <v>32</v>
      </c>
      <c r="F16" s="34" t="s">
        <v>24</v>
      </c>
      <c r="G16" s="33">
        <v>0.12</v>
      </c>
      <c r="H16" s="30">
        <f t="shared" si="0"/>
        <v>6436</v>
      </c>
    </row>
    <row r="17" spans="1:8" ht="15.75" customHeight="1">
      <c r="A17" s="38"/>
      <c r="B17" s="181" t="s">
        <v>11</v>
      </c>
      <c r="C17" s="182"/>
      <c r="D17" s="183"/>
      <c r="E17" s="34" t="s">
        <v>9</v>
      </c>
      <c r="F17" s="34" t="s">
        <v>12</v>
      </c>
      <c r="G17" s="33">
        <v>0</v>
      </c>
      <c r="H17" s="30">
        <f t="shared" si="0"/>
        <v>0</v>
      </c>
    </row>
    <row r="18" spans="1:8" ht="15.75" customHeight="1">
      <c r="A18" s="38"/>
      <c r="B18" s="206" t="s">
        <v>25</v>
      </c>
      <c r="C18" s="205"/>
      <c r="D18" s="205"/>
      <c r="E18" s="31" t="s">
        <v>13</v>
      </c>
      <c r="F18" s="31" t="s">
        <v>14</v>
      </c>
      <c r="G18" s="33">
        <v>0.05</v>
      </c>
      <c r="H18" s="30">
        <f t="shared" si="0"/>
        <v>2682</v>
      </c>
    </row>
    <row r="19" spans="1:8" ht="33" customHeight="1">
      <c r="A19" s="38"/>
      <c r="B19" s="206" t="s">
        <v>33</v>
      </c>
      <c r="C19" s="206"/>
      <c r="D19" s="206"/>
      <c r="E19" s="32" t="s">
        <v>34</v>
      </c>
      <c r="F19" s="34" t="s">
        <v>41</v>
      </c>
      <c r="G19" s="33">
        <v>2.21</v>
      </c>
      <c r="H19" s="30">
        <f t="shared" si="0"/>
        <v>118531</v>
      </c>
    </row>
    <row r="20" spans="1:8" ht="63">
      <c r="A20" s="38"/>
      <c r="B20" s="207" t="s">
        <v>15</v>
      </c>
      <c r="C20" s="207"/>
      <c r="D20" s="207"/>
      <c r="E20" s="32" t="s">
        <v>55</v>
      </c>
      <c r="F20" s="34" t="s">
        <v>41</v>
      </c>
      <c r="G20" s="33">
        <v>0.45</v>
      </c>
      <c r="H20" s="30">
        <f t="shared" si="0"/>
        <v>24135</v>
      </c>
    </row>
    <row r="21" spans="1:8" ht="31.5" customHeight="1">
      <c r="A21" s="38"/>
      <c r="B21" s="206" t="s">
        <v>35</v>
      </c>
      <c r="C21" s="205"/>
      <c r="D21" s="205"/>
      <c r="E21" s="32" t="s">
        <v>34</v>
      </c>
      <c r="F21" s="34" t="s">
        <v>41</v>
      </c>
      <c r="G21" s="33">
        <f>3.57-G22-G23</f>
        <v>3.57</v>
      </c>
      <c r="H21" s="30">
        <f t="shared" si="0"/>
        <v>191473</v>
      </c>
    </row>
    <row r="22" spans="1:8" ht="15.75" customHeight="1">
      <c r="A22" s="38"/>
      <c r="B22" s="206" t="s">
        <v>27</v>
      </c>
      <c r="C22" s="206"/>
      <c r="D22" s="206"/>
      <c r="E22" s="32" t="s">
        <v>34</v>
      </c>
      <c r="F22" s="34" t="s">
        <v>41</v>
      </c>
      <c r="G22" s="33">
        <v>0</v>
      </c>
      <c r="H22" s="30">
        <f t="shared" si="0"/>
        <v>0</v>
      </c>
    </row>
    <row r="23" spans="1:8" ht="33" customHeight="1">
      <c r="A23" s="38"/>
      <c r="B23" s="206" t="s">
        <v>28</v>
      </c>
      <c r="C23" s="206"/>
      <c r="D23" s="206"/>
      <c r="E23" s="32" t="s">
        <v>34</v>
      </c>
      <c r="F23" s="34" t="s">
        <v>41</v>
      </c>
      <c r="G23" s="33"/>
      <c r="H23" s="30">
        <f t="shared" si="0"/>
        <v>0</v>
      </c>
    </row>
    <row r="24" spans="1:8" ht="29.25" customHeight="1">
      <c r="A24" s="38"/>
      <c r="B24" s="205" t="s">
        <v>20</v>
      </c>
      <c r="C24" s="205"/>
      <c r="D24" s="205"/>
      <c r="E24" s="32" t="s">
        <v>34</v>
      </c>
      <c r="F24" s="34" t="s">
        <v>41</v>
      </c>
      <c r="G24" s="33">
        <v>1.09</v>
      </c>
      <c r="H24" s="30">
        <f t="shared" si="0"/>
        <v>58461</v>
      </c>
    </row>
    <row r="25" spans="1:8" ht="15.75">
      <c r="A25" s="38"/>
      <c r="B25" s="208" t="s">
        <v>29</v>
      </c>
      <c r="C25" s="208"/>
      <c r="D25" s="208"/>
      <c r="E25" s="8"/>
      <c r="F25" s="34"/>
      <c r="G25" s="10">
        <f>SUM(G12:G24)</f>
        <v>9.8</v>
      </c>
      <c r="H25" s="30">
        <f t="shared" si="0"/>
        <v>525613</v>
      </c>
    </row>
    <row r="26" spans="1:8" ht="15.75" customHeight="1">
      <c r="A26" s="91"/>
      <c r="B26" s="200"/>
      <c r="C26" s="201"/>
      <c r="D26" s="201"/>
      <c r="E26" s="17"/>
      <c r="F26" s="14"/>
      <c r="G26" s="57"/>
      <c r="H26" s="92"/>
    </row>
    <row r="27" spans="1:8" ht="15.75" customHeight="1">
      <c r="A27" s="28"/>
      <c r="B27" s="88"/>
      <c r="C27" s="87"/>
      <c r="D27" s="87"/>
      <c r="E27" s="8"/>
      <c r="F27" s="14"/>
      <c r="G27" s="13"/>
      <c r="H27" s="30"/>
    </row>
    <row r="28" spans="1:10" ht="15.75" customHeight="1">
      <c r="A28" s="28"/>
      <c r="B28" s="88"/>
      <c r="C28" s="87"/>
      <c r="D28" s="87"/>
      <c r="E28" s="8"/>
      <c r="F28" s="14"/>
      <c r="G28" s="13"/>
      <c r="H28" s="30"/>
      <c r="J28" t="s">
        <v>48</v>
      </c>
    </row>
    <row r="29" spans="1:8" ht="15.75" customHeight="1">
      <c r="A29" s="28" t="s">
        <v>58</v>
      </c>
      <c r="B29" s="204" t="s">
        <v>36</v>
      </c>
      <c r="C29" s="205"/>
      <c r="D29" s="205"/>
      <c r="E29" s="32" t="s">
        <v>122</v>
      </c>
      <c r="F29" s="14" t="s">
        <v>42</v>
      </c>
      <c r="G29" s="13">
        <v>1.09</v>
      </c>
      <c r="H29" s="30">
        <f t="shared" si="0"/>
        <v>58461</v>
      </c>
    </row>
    <row r="30" spans="1:8" ht="15.75">
      <c r="A30" s="28" t="s">
        <v>59</v>
      </c>
      <c r="B30" s="202" t="s">
        <v>40</v>
      </c>
      <c r="C30" s="202"/>
      <c r="D30" s="202"/>
      <c r="E30" s="202"/>
      <c r="F30" s="202"/>
      <c r="G30" s="10">
        <f>SUM(G25:G26)</f>
        <v>9.8</v>
      </c>
      <c r="H30" s="30">
        <f t="shared" si="0"/>
        <v>525613</v>
      </c>
    </row>
    <row r="31" spans="1:8" ht="16.5" thickBot="1">
      <c r="A31" s="90">
        <v>3</v>
      </c>
      <c r="B31" s="203" t="s">
        <v>56</v>
      </c>
      <c r="C31" s="203"/>
      <c r="D31" s="203"/>
      <c r="E31" s="36" t="s">
        <v>122</v>
      </c>
      <c r="F31" s="36" t="s">
        <v>42</v>
      </c>
      <c r="G31" s="37">
        <v>0.78</v>
      </c>
      <c r="H31" s="89">
        <f t="shared" si="0"/>
        <v>41835</v>
      </c>
    </row>
    <row r="32" spans="1:5" ht="15.75" customHeight="1">
      <c r="A32" s="93"/>
      <c r="B32" s="94"/>
      <c r="C32" s="94"/>
      <c r="D32" s="94"/>
      <c r="E32" s="94"/>
    </row>
    <row r="33" spans="1:5" ht="15.75">
      <c r="A33" s="93"/>
      <c r="B33" s="198" t="s">
        <v>118</v>
      </c>
      <c r="C33" s="198"/>
      <c r="D33" s="198"/>
      <c r="E33" s="198"/>
    </row>
    <row r="34" spans="1:7" ht="15.75" customHeight="1">
      <c r="A34" s="93"/>
      <c r="B34" s="199" t="s">
        <v>119</v>
      </c>
      <c r="C34" s="199"/>
      <c r="D34" s="199"/>
      <c r="E34" s="199"/>
      <c r="G34" t="s">
        <v>48</v>
      </c>
    </row>
    <row r="35" spans="1:5" ht="15.75" customHeight="1">
      <c r="A35" s="93"/>
      <c r="B35" s="199" t="s">
        <v>120</v>
      </c>
      <c r="C35" s="199"/>
      <c r="D35" s="199"/>
      <c r="E35" s="199"/>
    </row>
    <row r="37" spans="2:7" ht="15.75">
      <c r="B37" s="18" t="s">
        <v>121</v>
      </c>
      <c r="C37" s="18"/>
      <c r="D37" s="18"/>
      <c r="E37" s="18"/>
      <c r="F37" s="18"/>
      <c r="G37" s="18"/>
    </row>
  </sheetData>
  <sheetProtection/>
  <mergeCells count="27">
    <mergeCell ref="A1:H1"/>
    <mergeCell ref="B6:D6"/>
    <mergeCell ref="B7:F7"/>
    <mergeCell ref="B8:F8"/>
    <mergeCell ref="B14:D14"/>
    <mergeCell ref="B15:D15"/>
    <mergeCell ref="B16:D16"/>
    <mergeCell ref="B17:D17"/>
    <mergeCell ref="B9:F9"/>
    <mergeCell ref="B10:F10"/>
    <mergeCell ref="B12:D12"/>
    <mergeCell ref="B13:D13"/>
    <mergeCell ref="B22:D22"/>
    <mergeCell ref="B23:D23"/>
    <mergeCell ref="B24:D24"/>
    <mergeCell ref="B25:D25"/>
    <mergeCell ref="B18:D18"/>
    <mergeCell ref="B19:D19"/>
    <mergeCell ref="B20:D20"/>
    <mergeCell ref="B21:D21"/>
    <mergeCell ref="B33:E33"/>
    <mergeCell ref="B34:E34"/>
    <mergeCell ref="B35:E35"/>
    <mergeCell ref="B26:D26"/>
    <mergeCell ref="B30:F30"/>
    <mergeCell ref="B31:D31"/>
    <mergeCell ref="B29:D29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7">
      <selection activeCell="G18" sqref="G18:G30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4.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14.625" style="0" customWidth="1"/>
    <col min="8" max="8" width="17.25390625" style="0" customWidth="1"/>
  </cols>
  <sheetData>
    <row r="1" spans="4:8" ht="90" customHeight="1">
      <c r="D1" s="213" t="s">
        <v>123</v>
      </c>
      <c r="E1" s="213"/>
      <c r="F1" s="213"/>
      <c r="G1" s="213"/>
      <c r="H1" s="213"/>
    </row>
    <row r="4" spans="1:8" ht="19.5">
      <c r="A4" s="193" t="s">
        <v>124</v>
      </c>
      <c r="B4" s="193"/>
      <c r="C4" s="193"/>
      <c r="D4" s="193"/>
      <c r="E4" s="193"/>
      <c r="F4" s="193"/>
      <c r="G4" s="193"/>
      <c r="H4" s="193"/>
    </row>
    <row r="6" spans="1:5" ht="19.5">
      <c r="A6" s="95"/>
      <c r="B6" s="199" t="s">
        <v>134</v>
      </c>
      <c r="C6" s="199"/>
      <c r="D6" s="199"/>
      <c r="E6" s="199"/>
    </row>
    <row r="7" spans="2:6" ht="18.75">
      <c r="B7" s="1" t="s">
        <v>43</v>
      </c>
      <c r="C7" s="2"/>
      <c r="D7" s="2" t="s">
        <v>0</v>
      </c>
      <c r="E7" s="15">
        <v>4417.3</v>
      </c>
      <c r="F7" s="2"/>
    </row>
    <row r="8" spans="2:6" ht="15.75">
      <c r="B8" s="3" t="s">
        <v>1</v>
      </c>
      <c r="C8" s="19">
        <v>5</v>
      </c>
      <c r="D8" s="2" t="s">
        <v>2</v>
      </c>
      <c r="E8" s="16" t="s">
        <v>125</v>
      </c>
      <c r="F8" s="2"/>
    </row>
    <row r="9" spans="2:7" ht="15.75">
      <c r="B9" s="3" t="s">
        <v>3</v>
      </c>
      <c r="C9" s="4">
        <v>6</v>
      </c>
      <c r="D9" s="2" t="s">
        <v>4</v>
      </c>
      <c r="E9" s="2" t="s">
        <v>16</v>
      </c>
      <c r="F9" s="2"/>
      <c r="G9" s="2"/>
    </row>
    <row r="10" spans="2:7" ht="16.5" thickBot="1">
      <c r="B10" s="3"/>
      <c r="C10" s="4"/>
      <c r="D10" s="2" t="s">
        <v>5</v>
      </c>
      <c r="E10" s="2" t="s">
        <v>16</v>
      </c>
      <c r="F10" s="2"/>
      <c r="G10" s="2"/>
    </row>
    <row r="11" spans="1:8" ht="83.25" customHeight="1">
      <c r="A11" s="24" t="s">
        <v>37</v>
      </c>
      <c r="B11" s="211"/>
      <c r="C11" s="211"/>
      <c r="D11" s="211"/>
      <c r="E11" s="25" t="s">
        <v>6</v>
      </c>
      <c r="F11" s="25" t="s">
        <v>7</v>
      </c>
      <c r="G11" s="96" t="s">
        <v>135</v>
      </c>
      <c r="H11" s="27" t="s">
        <v>136</v>
      </c>
    </row>
    <row r="12" spans="1:8" ht="15.75" customHeight="1">
      <c r="A12" s="97">
        <v>1</v>
      </c>
      <c r="B12" s="164">
        <v>2</v>
      </c>
      <c r="C12" s="165"/>
      <c r="D12" s="214"/>
      <c r="E12" s="99">
        <v>3</v>
      </c>
      <c r="F12" s="98"/>
      <c r="G12" s="100">
        <v>4</v>
      </c>
      <c r="H12" s="101" t="s">
        <v>137</v>
      </c>
    </row>
    <row r="13" spans="1:8" ht="15.75" customHeight="1" hidden="1">
      <c r="A13" s="28"/>
      <c r="B13" s="212" t="s">
        <v>51</v>
      </c>
      <c r="C13" s="212"/>
      <c r="D13" s="212"/>
      <c r="E13" s="212"/>
      <c r="F13" s="212"/>
      <c r="G13" s="29"/>
      <c r="H13" s="30"/>
    </row>
    <row r="14" spans="1:8" ht="15.75" customHeight="1" hidden="1">
      <c r="A14" s="28">
        <v>1</v>
      </c>
      <c r="B14" s="206" t="s">
        <v>52</v>
      </c>
      <c r="C14" s="206"/>
      <c r="D14" s="206"/>
      <c r="E14" s="206"/>
      <c r="F14" s="206"/>
      <c r="G14" s="13">
        <f>G35</f>
        <v>11.21</v>
      </c>
      <c r="H14" s="30">
        <f>ROUND(G14*$E$7*12,0)</f>
        <v>594215</v>
      </c>
    </row>
    <row r="15" spans="1:8" ht="15.75" customHeight="1" hidden="1">
      <c r="A15" s="28"/>
      <c r="B15" s="206" t="s">
        <v>53</v>
      </c>
      <c r="C15" s="206"/>
      <c r="D15" s="206"/>
      <c r="E15" s="206"/>
      <c r="F15" s="206"/>
      <c r="G15" s="12">
        <v>0.78</v>
      </c>
      <c r="H15" s="30">
        <f>ROUND($E$7*G15*12,0)</f>
        <v>41346</v>
      </c>
    </row>
    <row r="16" spans="1:8" ht="18.75" customHeight="1">
      <c r="A16" s="28" t="s">
        <v>45</v>
      </c>
      <c r="B16" s="209" t="s">
        <v>38</v>
      </c>
      <c r="C16" s="209"/>
      <c r="D16" s="209"/>
      <c r="E16" s="209"/>
      <c r="F16" s="209"/>
      <c r="G16" s="31"/>
      <c r="H16" s="30" t="s">
        <v>48</v>
      </c>
    </row>
    <row r="17" spans="1:8" ht="15.75" customHeight="1">
      <c r="A17" s="28" t="s">
        <v>126</v>
      </c>
      <c r="B17" s="9" t="s">
        <v>39</v>
      </c>
      <c r="C17" s="9"/>
      <c r="D17" s="9"/>
      <c r="E17" s="9"/>
      <c r="F17" s="5"/>
      <c r="G17" s="8"/>
      <c r="H17" s="30"/>
    </row>
    <row r="18" spans="1:8" ht="27.75" customHeight="1">
      <c r="A18" s="38"/>
      <c r="B18" s="207" t="s">
        <v>54</v>
      </c>
      <c r="C18" s="207"/>
      <c r="D18" s="207"/>
      <c r="E18" s="32" t="s">
        <v>31</v>
      </c>
      <c r="F18" s="32" t="s">
        <v>23</v>
      </c>
      <c r="G18" s="33">
        <v>1.12</v>
      </c>
      <c r="H18" s="30">
        <f>ROUND($E$7*G18*6,0)</f>
        <v>29684</v>
      </c>
    </row>
    <row r="19" spans="1:8" ht="15.75" customHeight="1">
      <c r="A19" s="38"/>
      <c r="B19" s="207" t="s">
        <v>17</v>
      </c>
      <c r="C19" s="207"/>
      <c r="D19" s="207"/>
      <c r="E19" s="32" t="s">
        <v>31</v>
      </c>
      <c r="F19" s="32" t="s">
        <v>18</v>
      </c>
      <c r="G19" s="33">
        <v>0.3</v>
      </c>
      <c r="H19" s="30">
        <f aca="true" t="shared" si="0" ref="H19:H36">ROUND($E$7*G19*6,0)</f>
        <v>7951</v>
      </c>
    </row>
    <row r="20" spans="1:8" ht="15.75" customHeight="1">
      <c r="A20" s="38"/>
      <c r="B20" s="206" t="s">
        <v>22</v>
      </c>
      <c r="C20" s="206"/>
      <c r="D20" s="206"/>
      <c r="E20" s="34" t="s">
        <v>71</v>
      </c>
      <c r="F20" s="34" t="s">
        <v>19</v>
      </c>
      <c r="G20" s="33">
        <v>0.41</v>
      </c>
      <c r="H20" s="30">
        <f t="shared" si="0"/>
        <v>10867</v>
      </c>
    </row>
    <row r="21" spans="1:8" ht="16.5" customHeight="1">
      <c r="A21" s="38"/>
      <c r="B21" s="210" t="s">
        <v>30</v>
      </c>
      <c r="C21" s="210"/>
      <c r="D21" s="210"/>
      <c r="E21" s="35" t="s">
        <v>9</v>
      </c>
      <c r="F21" s="35" t="s">
        <v>10</v>
      </c>
      <c r="G21" s="33">
        <v>0.54</v>
      </c>
      <c r="H21" s="30">
        <f t="shared" si="0"/>
        <v>14312</v>
      </c>
    </row>
    <row r="22" spans="1:8" ht="81.75" customHeight="1">
      <c r="A22" s="38"/>
      <c r="B22" s="206" t="s">
        <v>26</v>
      </c>
      <c r="C22" s="206"/>
      <c r="D22" s="206"/>
      <c r="E22" s="34" t="s">
        <v>72</v>
      </c>
      <c r="F22" s="34" t="s">
        <v>24</v>
      </c>
      <c r="G22" s="33">
        <v>0.13</v>
      </c>
      <c r="H22" s="30">
        <f t="shared" si="0"/>
        <v>3445</v>
      </c>
    </row>
    <row r="23" spans="1:8" ht="15.75" customHeight="1">
      <c r="A23" s="38"/>
      <c r="B23" s="181" t="s">
        <v>11</v>
      </c>
      <c r="C23" s="182"/>
      <c r="D23" s="183"/>
      <c r="E23" s="34" t="s">
        <v>9</v>
      </c>
      <c r="F23" s="34" t="s">
        <v>12</v>
      </c>
      <c r="G23" s="102">
        <v>0</v>
      </c>
      <c r="H23" s="30">
        <f t="shared" si="0"/>
        <v>0</v>
      </c>
    </row>
    <row r="24" spans="1:8" ht="15.75" customHeight="1">
      <c r="A24" s="38"/>
      <c r="B24" s="206" t="s">
        <v>25</v>
      </c>
      <c r="C24" s="205"/>
      <c r="D24" s="205"/>
      <c r="E24" s="31" t="s">
        <v>13</v>
      </c>
      <c r="F24" s="31" t="s">
        <v>14</v>
      </c>
      <c r="G24" s="33">
        <v>0.05</v>
      </c>
      <c r="H24" s="30">
        <f t="shared" si="0"/>
        <v>1325</v>
      </c>
    </row>
    <row r="25" spans="1:8" ht="33" customHeight="1">
      <c r="A25" s="38"/>
      <c r="B25" s="206" t="s">
        <v>33</v>
      </c>
      <c r="C25" s="206"/>
      <c r="D25" s="206"/>
      <c r="E25" s="32" t="s">
        <v>34</v>
      </c>
      <c r="F25" s="34" t="s">
        <v>41</v>
      </c>
      <c r="G25" s="33">
        <v>2.28</v>
      </c>
      <c r="H25" s="30">
        <f t="shared" si="0"/>
        <v>60429</v>
      </c>
    </row>
    <row r="26" spans="1:8" ht="63">
      <c r="A26" s="38"/>
      <c r="B26" s="207" t="s">
        <v>15</v>
      </c>
      <c r="C26" s="207"/>
      <c r="D26" s="207"/>
      <c r="E26" s="32" t="s">
        <v>55</v>
      </c>
      <c r="F26" s="34" t="s">
        <v>41</v>
      </c>
      <c r="G26" s="33">
        <v>0.47</v>
      </c>
      <c r="H26" s="30">
        <f t="shared" si="0"/>
        <v>12457</v>
      </c>
    </row>
    <row r="27" spans="1:8" ht="31.5" customHeight="1">
      <c r="A27" s="38"/>
      <c r="B27" s="206" t="s">
        <v>35</v>
      </c>
      <c r="C27" s="205"/>
      <c r="D27" s="205"/>
      <c r="E27" s="32" t="s">
        <v>34</v>
      </c>
      <c r="F27" s="34" t="s">
        <v>41</v>
      </c>
      <c r="G27" s="33">
        <f>3.67-G28-G29</f>
        <v>3.67</v>
      </c>
      <c r="H27" s="30">
        <f t="shared" si="0"/>
        <v>97269</v>
      </c>
    </row>
    <row r="28" spans="1:8" ht="22.5" customHeight="1">
      <c r="A28" s="38"/>
      <c r="B28" s="206" t="s">
        <v>27</v>
      </c>
      <c r="C28" s="206"/>
      <c r="D28" s="206"/>
      <c r="E28" s="32" t="s">
        <v>9</v>
      </c>
      <c r="F28" s="34" t="s">
        <v>41</v>
      </c>
      <c r="G28" s="102">
        <v>0</v>
      </c>
      <c r="H28" s="30">
        <f t="shared" si="0"/>
        <v>0</v>
      </c>
    </row>
    <row r="29" spans="1:8" ht="20.25" customHeight="1">
      <c r="A29" s="38"/>
      <c r="B29" s="206" t="s">
        <v>28</v>
      </c>
      <c r="C29" s="206"/>
      <c r="D29" s="206"/>
      <c r="E29" s="32" t="s">
        <v>9</v>
      </c>
      <c r="F29" s="34" t="s">
        <v>41</v>
      </c>
      <c r="G29" s="102">
        <v>0</v>
      </c>
      <c r="H29" s="30">
        <f t="shared" si="0"/>
        <v>0</v>
      </c>
    </row>
    <row r="30" spans="1:8" ht="29.25" customHeight="1">
      <c r="A30" s="38"/>
      <c r="B30" s="205" t="s">
        <v>20</v>
      </c>
      <c r="C30" s="205"/>
      <c r="D30" s="205"/>
      <c r="E30" s="32" t="s">
        <v>34</v>
      </c>
      <c r="F30" s="34" t="s">
        <v>41</v>
      </c>
      <c r="G30" s="33">
        <v>1.12</v>
      </c>
      <c r="H30" s="30">
        <f t="shared" si="0"/>
        <v>29684</v>
      </c>
    </row>
    <row r="31" spans="1:8" ht="15.75">
      <c r="A31" s="38"/>
      <c r="B31" s="208" t="s">
        <v>29</v>
      </c>
      <c r="C31" s="208"/>
      <c r="D31" s="208"/>
      <c r="E31" s="8"/>
      <c r="F31" s="34"/>
      <c r="G31" s="10">
        <f>SUM(G18:G30)</f>
        <v>10.09</v>
      </c>
      <c r="H31" s="30">
        <f t="shared" si="0"/>
        <v>267423</v>
      </c>
    </row>
    <row r="32" spans="1:8" ht="15.75" customHeight="1" hidden="1">
      <c r="A32" s="28"/>
      <c r="B32" s="88"/>
      <c r="C32" s="87"/>
      <c r="D32" s="87"/>
      <c r="E32" s="8"/>
      <c r="F32" s="14"/>
      <c r="G32" s="13"/>
      <c r="H32" s="30">
        <f t="shared" si="0"/>
        <v>0</v>
      </c>
    </row>
    <row r="33" spans="1:10" ht="15.75" customHeight="1" hidden="1">
      <c r="A33" s="28"/>
      <c r="B33" s="88"/>
      <c r="C33" s="87"/>
      <c r="D33" s="87"/>
      <c r="E33" s="8"/>
      <c r="F33" s="14"/>
      <c r="G33" s="13"/>
      <c r="H33" s="30">
        <f t="shared" si="0"/>
        <v>0</v>
      </c>
      <c r="J33" t="s">
        <v>48</v>
      </c>
    </row>
    <row r="34" spans="1:8" ht="15.75" customHeight="1">
      <c r="A34" s="28" t="s">
        <v>127</v>
      </c>
      <c r="B34" s="204" t="s">
        <v>36</v>
      </c>
      <c r="C34" s="205"/>
      <c r="D34" s="205"/>
      <c r="E34" s="32" t="s">
        <v>122</v>
      </c>
      <c r="F34" s="14" t="s">
        <v>42</v>
      </c>
      <c r="G34" s="13">
        <v>1.12</v>
      </c>
      <c r="H34" s="30">
        <f t="shared" si="0"/>
        <v>29684</v>
      </c>
    </row>
    <row r="35" spans="1:8" ht="15.75">
      <c r="A35" s="28" t="s">
        <v>128</v>
      </c>
      <c r="B35" s="202" t="s">
        <v>40</v>
      </c>
      <c r="C35" s="202"/>
      <c r="D35" s="202"/>
      <c r="E35" s="202"/>
      <c r="F35" s="202"/>
      <c r="G35" s="10">
        <f>SUM(G31:G34)</f>
        <v>11.21</v>
      </c>
      <c r="H35" s="30">
        <f t="shared" si="0"/>
        <v>297108</v>
      </c>
    </row>
    <row r="36" spans="1:8" ht="16.5" thickBot="1">
      <c r="A36" s="90" t="s">
        <v>46</v>
      </c>
      <c r="B36" s="203" t="s">
        <v>56</v>
      </c>
      <c r="C36" s="203"/>
      <c r="D36" s="203"/>
      <c r="E36" s="36" t="s">
        <v>122</v>
      </c>
      <c r="F36" s="36" t="s">
        <v>42</v>
      </c>
      <c r="G36" s="103">
        <v>0.8</v>
      </c>
      <c r="H36" s="89">
        <f t="shared" si="0"/>
        <v>21203</v>
      </c>
    </row>
    <row r="37" spans="1:5" ht="15.75" customHeight="1">
      <c r="A37" s="39"/>
      <c r="B37" s="215" t="s">
        <v>129</v>
      </c>
      <c r="C37" s="215"/>
      <c r="D37" s="215"/>
      <c r="E37" s="215"/>
    </row>
    <row r="38" spans="1:5" ht="15.75" hidden="1">
      <c r="A38" s="93"/>
      <c r="B38" s="198" t="s">
        <v>118</v>
      </c>
      <c r="C38" s="198"/>
      <c r="D38" s="198"/>
      <c r="E38" s="198"/>
    </row>
    <row r="39" spans="1:7" ht="15.75" customHeight="1" hidden="1">
      <c r="A39" s="93"/>
      <c r="B39" s="199" t="s">
        <v>119</v>
      </c>
      <c r="C39" s="199"/>
      <c r="D39" s="199"/>
      <c r="E39" s="199"/>
      <c r="G39" t="s">
        <v>48</v>
      </c>
    </row>
    <row r="40" spans="1:5" ht="15.75" customHeight="1" hidden="1">
      <c r="A40" s="93"/>
      <c r="B40" s="199" t="s">
        <v>120</v>
      </c>
      <c r="C40" s="199"/>
      <c r="D40" s="199"/>
      <c r="E40" s="199"/>
    </row>
    <row r="42" spans="2:7" ht="15.75">
      <c r="B42" s="18" t="s">
        <v>132</v>
      </c>
      <c r="C42" s="18"/>
      <c r="D42" s="18"/>
      <c r="E42" s="18" t="s">
        <v>130</v>
      </c>
      <c r="F42" s="18"/>
      <c r="G42" s="18"/>
    </row>
    <row r="44" spans="2:5" ht="15.75">
      <c r="B44" s="18" t="s">
        <v>133</v>
      </c>
      <c r="C44" s="18"/>
      <c r="D44" s="18"/>
      <c r="E44" t="s">
        <v>131</v>
      </c>
    </row>
  </sheetData>
  <sheetProtection/>
  <mergeCells count="30">
    <mergeCell ref="B11:D11"/>
    <mergeCell ref="B13:F13"/>
    <mergeCell ref="B14:F14"/>
    <mergeCell ref="B15:F15"/>
    <mergeCell ref="B21:D21"/>
    <mergeCell ref="B22:D22"/>
    <mergeCell ref="B23:D23"/>
    <mergeCell ref="B24:D24"/>
    <mergeCell ref="B16:F16"/>
    <mergeCell ref="B18:D18"/>
    <mergeCell ref="B19:D19"/>
    <mergeCell ref="B20:D20"/>
    <mergeCell ref="B25:D25"/>
    <mergeCell ref="B26:D26"/>
    <mergeCell ref="B27:D27"/>
    <mergeCell ref="B36:D36"/>
    <mergeCell ref="B28:D28"/>
    <mergeCell ref="B29:D29"/>
    <mergeCell ref="B30:D30"/>
    <mergeCell ref="B31:D31"/>
    <mergeCell ref="B38:E38"/>
    <mergeCell ref="B39:E39"/>
    <mergeCell ref="B40:E40"/>
    <mergeCell ref="D1:H1"/>
    <mergeCell ref="A4:H4"/>
    <mergeCell ref="B6:E6"/>
    <mergeCell ref="B12:D12"/>
    <mergeCell ref="B37:E37"/>
    <mergeCell ref="B34:D34"/>
    <mergeCell ref="B35:F35"/>
  </mergeCells>
  <printOptions/>
  <pageMargins left="0.1968503937007874" right="0.1968503937007874" top="0.1968503937007874" bottom="0.1968503937007874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A35" sqref="A35:IV3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4.875" style="0" customWidth="1"/>
    <col min="4" max="4" width="18.75390625" style="0" customWidth="1"/>
    <col min="5" max="5" width="18.00390625" style="0" customWidth="1"/>
    <col min="6" max="6" width="22.50390625" style="0" hidden="1" customWidth="1"/>
    <col min="7" max="7" width="9.25390625" style="0" customWidth="1"/>
    <col min="8" max="8" width="10.375" style="0" customWidth="1"/>
    <col min="9" max="9" width="16.125" style="0" customWidth="1"/>
  </cols>
  <sheetData>
    <row r="1" spans="1:9" ht="60.75" customHeight="1">
      <c r="A1" s="193" t="s">
        <v>150</v>
      </c>
      <c r="B1" s="193"/>
      <c r="C1" s="193"/>
      <c r="D1" s="193"/>
      <c r="E1" s="193"/>
      <c r="F1" s="193"/>
      <c r="G1" s="193"/>
      <c r="H1" s="193"/>
      <c r="I1" s="193"/>
    </row>
    <row r="2" spans="1:8" ht="15.75" customHeight="1">
      <c r="A2" s="95"/>
      <c r="B2" s="95"/>
      <c r="C2" s="95"/>
      <c r="D2" s="95"/>
      <c r="E2" s="95"/>
      <c r="F2" s="95"/>
      <c r="G2" s="95"/>
      <c r="H2" s="95"/>
    </row>
    <row r="3" spans="1:8" ht="15.75" customHeight="1">
      <c r="A3" s="95"/>
      <c r="B3" s="95"/>
      <c r="C3" s="95"/>
      <c r="D3" s="95"/>
      <c r="E3" s="95"/>
      <c r="F3" s="95"/>
      <c r="G3" s="95"/>
      <c r="H3" s="95"/>
    </row>
    <row r="4" spans="2:6" ht="31.5" customHeight="1">
      <c r="B4" s="1" t="s">
        <v>43</v>
      </c>
      <c r="C4" s="2"/>
      <c r="D4" s="105" t="s">
        <v>138</v>
      </c>
      <c r="E4" s="15">
        <v>4417.3</v>
      </c>
      <c r="F4" s="2"/>
    </row>
    <row r="5" spans="2:6" ht="15.75">
      <c r="B5" s="3" t="s">
        <v>1</v>
      </c>
      <c r="C5" s="19">
        <v>5</v>
      </c>
      <c r="D5" s="2" t="s">
        <v>2</v>
      </c>
      <c r="E5" s="16" t="s">
        <v>125</v>
      </c>
      <c r="F5" s="2"/>
    </row>
    <row r="6" spans="2:7" ht="15.75">
      <c r="B6" s="3" t="s">
        <v>3</v>
      </c>
      <c r="C6" s="4">
        <v>6</v>
      </c>
      <c r="D6" s="2" t="s">
        <v>4</v>
      </c>
      <c r="E6" s="2" t="s">
        <v>16</v>
      </c>
      <c r="F6" s="2"/>
      <c r="G6" s="2"/>
    </row>
    <row r="7" spans="2:7" ht="16.5" thickBot="1">
      <c r="B7" s="3"/>
      <c r="C7" s="4"/>
      <c r="D7" s="2" t="s">
        <v>5</v>
      </c>
      <c r="E7" s="2" t="s">
        <v>16</v>
      </c>
      <c r="F7" s="2"/>
      <c r="G7" s="2"/>
    </row>
    <row r="8" spans="1:9" ht="88.5" customHeight="1">
      <c r="A8" s="24" t="s">
        <v>37</v>
      </c>
      <c r="B8" s="216" t="s">
        <v>60</v>
      </c>
      <c r="C8" s="216"/>
      <c r="D8" s="216"/>
      <c r="E8" s="25" t="s">
        <v>6</v>
      </c>
      <c r="F8" s="25" t="s">
        <v>7</v>
      </c>
      <c r="G8" s="106" t="s">
        <v>139</v>
      </c>
      <c r="H8" s="106" t="s">
        <v>140</v>
      </c>
      <c r="I8" s="27" t="s">
        <v>141</v>
      </c>
    </row>
    <row r="9" spans="1:9" ht="29.25" customHeight="1">
      <c r="A9" s="97">
        <v>1</v>
      </c>
      <c r="B9" s="217">
        <v>2</v>
      </c>
      <c r="C9" s="218"/>
      <c r="D9" s="219"/>
      <c r="E9" s="98">
        <v>3</v>
      </c>
      <c r="F9" s="98"/>
      <c r="G9" s="107">
        <v>4</v>
      </c>
      <c r="H9" s="108">
        <v>5</v>
      </c>
      <c r="I9" s="109" t="s">
        <v>142</v>
      </c>
    </row>
    <row r="10" spans="1:9" ht="21" customHeight="1">
      <c r="A10" s="28"/>
      <c r="B10" s="212" t="s">
        <v>51</v>
      </c>
      <c r="C10" s="212"/>
      <c r="D10" s="212"/>
      <c r="E10" s="212"/>
      <c r="F10" s="212"/>
      <c r="G10" s="29"/>
      <c r="H10" s="110"/>
      <c r="I10" s="109"/>
    </row>
    <row r="11" spans="1:9" ht="32.25" customHeight="1">
      <c r="A11" s="28">
        <v>1</v>
      </c>
      <c r="B11" s="220" t="s">
        <v>143</v>
      </c>
      <c r="C11" s="220"/>
      <c r="D11" s="220"/>
      <c r="E11" s="220"/>
      <c r="F11" s="220"/>
      <c r="G11" s="13">
        <f>G30</f>
        <v>10.91</v>
      </c>
      <c r="H11" s="111">
        <v>11.62</v>
      </c>
      <c r="I11" s="30">
        <f>ROUND($E$4*G11*6,0)+ROUND($E$4*H11*6,0)</f>
        <v>597130</v>
      </c>
    </row>
    <row r="12" spans="1:9" ht="15.75" customHeight="1">
      <c r="A12" s="28"/>
      <c r="B12" s="204" t="s">
        <v>53</v>
      </c>
      <c r="C12" s="204"/>
      <c r="D12" s="204"/>
      <c r="E12" s="204"/>
      <c r="F12" s="204"/>
      <c r="G12" s="13">
        <f>G31</f>
        <v>0.8</v>
      </c>
      <c r="H12" s="111">
        <v>0.85</v>
      </c>
      <c r="I12" s="30">
        <f aca="true" t="shared" si="0" ref="I12:I31">ROUND($E$4*G12*6,0)+ROUND($E$4*H12*6,0)</f>
        <v>43731</v>
      </c>
    </row>
    <row r="13" spans="1:9" ht="18.75">
      <c r="A13" s="28">
        <v>2</v>
      </c>
      <c r="B13" s="209" t="s">
        <v>38</v>
      </c>
      <c r="C13" s="209"/>
      <c r="D13" s="209"/>
      <c r="E13" s="209"/>
      <c r="F13" s="209"/>
      <c r="G13" s="31"/>
      <c r="H13" s="110"/>
      <c r="I13" s="30"/>
    </row>
    <row r="14" spans="1:9" ht="15.75">
      <c r="A14" s="28"/>
      <c r="B14" s="9" t="s">
        <v>39</v>
      </c>
      <c r="C14" s="9"/>
      <c r="D14" s="9"/>
      <c r="E14" s="9"/>
      <c r="F14" s="5"/>
      <c r="G14" s="8"/>
      <c r="H14" s="110"/>
      <c r="I14" s="30"/>
    </row>
    <row r="15" spans="1:9" ht="32.25" customHeight="1">
      <c r="A15" s="112"/>
      <c r="B15" s="207" t="s">
        <v>144</v>
      </c>
      <c r="C15" s="207"/>
      <c r="D15" s="207"/>
      <c r="E15" s="113" t="s">
        <v>31</v>
      </c>
      <c r="F15" s="32" t="s">
        <v>23</v>
      </c>
      <c r="G15" s="33">
        <v>1.12</v>
      </c>
      <c r="H15" s="114">
        <v>1.19</v>
      </c>
      <c r="I15" s="30">
        <f t="shared" si="0"/>
        <v>61224</v>
      </c>
    </row>
    <row r="16" spans="1:9" ht="15.75" customHeight="1">
      <c r="A16" s="112"/>
      <c r="B16" s="207" t="s">
        <v>17</v>
      </c>
      <c r="C16" s="207"/>
      <c r="D16" s="207"/>
      <c r="E16" s="113" t="s">
        <v>31</v>
      </c>
      <c r="F16" s="32" t="s">
        <v>18</v>
      </c>
      <c r="G16" s="33">
        <v>0.3</v>
      </c>
      <c r="H16" s="114">
        <v>0.32</v>
      </c>
      <c r="I16" s="30">
        <f t="shared" si="0"/>
        <v>16432</v>
      </c>
    </row>
    <row r="17" spans="1:9" ht="16.5" customHeight="1">
      <c r="A17" s="112"/>
      <c r="B17" s="206" t="s">
        <v>145</v>
      </c>
      <c r="C17" s="206"/>
      <c r="D17" s="206"/>
      <c r="E17" s="115" t="s">
        <v>71</v>
      </c>
      <c r="F17" s="34" t="s">
        <v>19</v>
      </c>
      <c r="G17" s="33">
        <v>0.11</v>
      </c>
      <c r="H17" s="114">
        <v>0.12</v>
      </c>
      <c r="I17" s="30">
        <f t="shared" si="0"/>
        <v>6095</v>
      </c>
    </row>
    <row r="18" spans="1:9" ht="16.5" customHeight="1">
      <c r="A18" s="112"/>
      <c r="B18" s="210" t="s">
        <v>30</v>
      </c>
      <c r="C18" s="210"/>
      <c r="D18" s="210"/>
      <c r="E18" s="116" t="s">
        <v>9</v>
      </c>
      <c r="F18" s="35" t="s">
        <v>10</v>
      </c>
      <c r="G18" s="33">
        <v>0.54</v>
      </c>
      <c r="H18" s="114">
        <v>0.58</v>
      </c>
      <c r="I18" s="30">
        <f t="shared" si="0"/>
        <v>29684</v>
      </c>
    </row>
    <row r="19" spans="1:9" ht="57" customHeight="1">
      <c r="A19" s="112"/>
      <c r="B19" s="206" t="s">
        <v>26</v>
      </c>
      <c r="C19" s="206"/>
      <c r="D19" s="206"/>
      <c r="E19" s="115" t="s">
        <v>32</v>
      </c>
      <c r="F19" s="34" t="s">
        <v>24</v>
      </c>
      <c r="G19" s="33">
        <v>0.13</v>
      </c>
      <c r="H19" s="114">
        <v>0.14</v>
      </c>
      <c r="I19" s="30">
        <f t="shared" si="0"/>
        <v>7156</v>
      </c>
    </row>
    <row r="20" spans="1:9" ht="22.5" customHeight="1">
      <c r="A20" s="112"/>
      <c r="B20" s="206" t="s">
        <v>11</v>
      </c>
      <c r="C20" s="206"/>
      <c r="D20" s="206"/>
      <c r="E20" s="115" t="s">
        <v>9</v>
      </c>
      <c r="F20" s="34" t="s">
        <v>12</v>
      </c>
      <c r="G20" s="102">
        <v>0</v>
      </c>
      <c r="H20" s="117">
        <v>0</v>
      </c>
      <c r="I20" s="30">
        <f t="shared" si="0"/>
        <v>0</v>
      </c>
    </row>
    <row r="21" spans="1:9" ht="15.75" customHeight="1">
      <c r="A21" s="112"/>
      <c r="B21" s="206" t="s">
        <v>25</v>
      </c>
      <c r="C21" s="205"/>
      <c r="D21" s="205"/>
      <c r="E21" s="118" t="s">
        <v>13</v>
      </c>
      <c r="F21" s="31" t="s">
        <v>14</v>
      </c>
      <c r="G21" s="33">
        <v>0.05</v>
      </c>
      <c r="H21" s="114">
        <v>0.05</v>
      </c>
      <c r="I21" s="30">
        <f t="shared" si="0"/>
        <v>2650</v>
      </c>
    </row>
    <row r="22" spans="1:9" ht="28.5" customHeight="1">
      <c r="A22" s="112"/>
      <c r="B22" s="206" t="s">
        <v>33</v>
      </c>
      <c r="C22" s="206"/>
      <c r="D22" s="206"/>
      <c r="E22" s="113" t="s">
        <v>34</v>
      </c>
      <c r="F22" s="34" t="s">
        <v>146</v>
      </c>
      <c r="G22" s="33">
        <v>2.28</v>
      </c>
      <c r="H22" s="114">
        <v>1.74</v>
      </c>
      <c r="I22" s="30">
        <f t="shared" si="0"/>
        <v>106546</v>
      </c>
    </row>
    <row r="23" spans="1:9" ht="51">
      <c r="A23" s="112"/>
      <c r="B23" s="207" t="s">
        <v>15</v>
      </c>
      <c r="C23" s="207"/>
      <c r="D23" s="207"/>
      <c r="E23" s="113" t="s">
        <v>55</v>
      </c>
      <c r="F23" s="34" t="s">
        <v>146</v>
      </c>
      <c r="G23" s="33">
        <v>0.47</v>
      </c>
      <c r="H23" s="114">
        <v>0.5</v>
      </c>
      <c r="I23" s="30">
        <f t="shared" si="0"/>
        <v>25709</v>
      </c>
    </row>
    <row r="24" spans="1:9" ht="28.5" customHeight="1">
      <c r="A24" s="112"/>
      <c r="B24" s="206" t="s">
        <v>35</v>
      </c>
      <c r="C24" s="205"/>
      <c r="D24" s="205"/>
      <c r="E24" s="113" t="s">
        <v>34</v>
      </c>
      <c r="F24" s="34" t="s">
        <v>146</v>
      </c>
      <c r="G24" s="33">
        <f>3.67-G25-G26</f>
        <v>3.67</v>
      </c>
      <c r="H24" s="33">
        <f>4.6-H25-H26</f>
        <v>4.6</v>
      </c>
      <c r="I24" s="30">
        <f t="shared" si="0"/>
        <v>219186</v>
      </c>
    </row>
    <row r="25" spans="1:9" ht="26.25" customHeight="1">
      <c r="A25" s="112"/>
      <c r="B25" s="206" t="s">
        <v>27</v>
      </c>
      <c r="C25" s="206"/>
      <c r="D25" s="206"/>
      <c r="E25" s="113" t="s">
        <v>34</v>
      </c>
      <c r="F25" s="34" t="s">
        <v>146</v>
      </c>
      <c r="G25" s="102">
        <v>0</v>
      </c>
      <c r="H25" s="114">
        <v>0</v>
      </c>
      <c r="I25" s="30">
        <f t="shared" si="0"/>
        <v>0</v>
      </c>
    </row>
    <row r="26" spans="1:9" ht="26.25" customHeight="1">
      <c r="A26" s="112"/>
      <c r="B26" s="206" t="s">
        <v>28</v>
      </c>
      <c r="C26" s="206"/>
      <c r="D26" s="206"/>
      <c r="E26" s="113" t="s">
        <v>34</v>
      </c>
      <c r="F26" s="34" t="s">
        <v>146</v>
      </c>
      <c r="G26" s="102">
        <v>0</v>
      </c>
      <c r="H26" s="117">
        <v>0</v>
      </c>
      <c r="I26" s="30">
        <f t="shared" si="0"/>
        <v>0</v>
      </c>
    </row>
    <row r="27" spans="1:9" ht="25.5">
      <c r="A27" s="112"/>
      <c r="B27" s="205" t="s">
        <v>147</v>
      </c>
      <c r="C27" s="205"/>
      <c r="D27" s="205"/>
      <c r="E27" s="113" t="s">
        <v>34</v>
      </c>
      <c r="F27" s="34" t="s">
        <v>146</v>
      </c>
      <c r="G27" s="33">
        <v>1.12</v>
      </c>
      <c r="H27" s="114">
        <v>1.19</v>
      </c>
      <c r="I27" s="30">
        <f t="shared" si="0"/>
        <v>61224</v>
      </c>
    </row>
    <row r="28" spans="1:9" ht="15.75">
      <c r="A28" s="28"/>
      <c r="B28" s="208" t="s">
        <v>29</v>
      </c>
      <c r="C28" s="208"/>
      <c r="D28" s="208"/>
      <c r="E28" s="8"/>
      <c r="F28" s="34"/>
      <c r="G28" s="10">
        <f>SUM(G15:G27)</f>
        <v>9.79</v>
      </c>
      <c r="H28" s="10">
        <f>SUM(H15:H27)</f>
        <v>10.429999999999998</v>
      </c>
      <c r="I28" s="30">
        <f t="shared" si="0"/>
        <v>535907</v>
      </c>
    </row>
    <row r="29" spans="1:9" ht="15.75" customHeight="1">
      <c r="A29" s="28">
        <v>3</v>
      </c>
      <c r="B29" s="204" t="s">
        <v>36</v>
      </c>
      <c r="C29" s="205"/>
      <c r="D29" s="205"/>
      <c r="E29" s="119" t="s">
        <v>122</v>
      </c>
      <c r="F29" s="14" t="s">
        <v>148</v>
      </c>
      <c r="G29" s="13">
        <v>1.12</v>
      </c>
      <c r="H29" s="111">
        <v>1.19</v>
      </c>
      <c r="I29" s="30">
        <f t="shared" si="0"/>
        <v>61224</v>
      </c>
    </row>
    <row r="30" spans="1:9" ht="15.75">
      <c r="A30" s="28"/>
      <c r="B30" s="202" t="s">
        <v>40</v>
      </c>
      <c r="C30" s="202"/>
      <c r="D30" s="202"/>
      <c r="E30" s="202"/>
      <c r="F30" s="202"/>
      <c r="G30" s="13">
        <f>SUM(G28:G29)</f>
        <v>10.91</v>
      </c>
      <c r="H30" s="13">
        <f>SUM(H28:H29)</f>
        <v>11.619999999999997</v>
      </c>
      <c r="I30" s="30">
        <f t="shared" si="0"/>
        <v>597130</v>
      </c>
    </row>
    <row r="31" spans="1:9" ht="16.5" thickBot="1">
      <c r="A31" s="90">
        <v>4</v>
      </c>
      <c r="B31" s="203" t="s">
        <v>56</v>
      </c>
      <c r="C31" s="203"/>
      <c r="D31" s="203"/>
      <c r="E31" s="120" t="s">
        <v>122</v>
      </c>
      <c r="F31" s="36" t="s">
        <v>148</v>
      </c>
      <c r="G31" s="121">
        <v>0.8</v>
      </c>
      <c r="H31" s="122">
        <v>0.85</v>
      </c>
      <c r="I31" s="89">
        <f t="shared" si="0"/>
        <v>43731</v>
      </c>
    </row>
    <row r="32" spans="1:6" ht="47.25" customHeight="1">
      <c r="A32" s="221" t="s">
        <v>149</v>
      </c>
      <c r="B32" s="221"/>
      <c r="C32" s="221"/>
      <c r="D32" s="221"/>
      <c r="E32" s="221"/>
      <c r="F32" s="123"/>
    </row>
    <row r="33" spans="1:6" ht="15.75">
      <c r="A33" s="93"/>
      <c r="B33" s="198"/>
      <c r="C33" s="198"/>
      <c r="D33" s="198"/>
      <c r="E33" s="198"/>
      <c r="F33" s="198"/>
    </row>
    <row r="34" spans="1:8" ht="15.75" customHeight="1">
      <c r="A34" s="93"/>
      <c r="B34" s="199"/>
      <c r="C34" s="199"/>
      <c r="D34" s="199"/>
      <c r="E34" s="199"/>
      <c r="F34" s="199"/>
      <c r="H34" t="s">
        <v>48</v>
      </c>
    </row>
    <row r="35" spans="2:8" ht="15.75">
      <c r="B35" s="18" t="s">
        <v>171</v>
      </c>
      <c r="C35" s="18"/>
      <c r="D35" s="18"/>
      <c r="E35" s="18"/>
      <c r="F35" s="18"/>
      <c r="G35" s="18"/>
      <c r="H35" s="18"/>
    </row>
    <row r="36" spans="2:8" ht="15.75">
      <c r="B36" s="18"/>
      <c r="C36" s="18"/>
      <c r="D36" s="18"/>
      <c r="E36" s="18"/>
      <c r="F36" s="18"/>
      <c r="G36" s="18"/>
      <c r="H36" s="18"/>
    </row>
    <row r="38" ht="15.75">
      <c r="H38" t="s">
        <v>48</v>
      </c>
    </row>
    <row r="47" ht="15.75">
      <c r="E47" t="s">
        <v>48</v>
      </c>
    </row>
  </sheetData>
  <sheetProtection/>
  <mergeCells count="27">
    <mergeCell ref="A32:E32"/>
    <mergeCell ref="B33:F33"/>
    <mergeCell ref="B34:F34"/>
    <mergeCell ref="B26:D26"/>
    <mergeCell ref="B27:D27"/>
    <mergeCell ref="B28:D28"/>
    <mergeCell ref="B29:D29"/>
    <mergeCell ref="B16:D16"/>
    <mergeCell ref="B17:D17"/>
    <mergeCell ref="B30:F30"/>
    <mergeCell ref="B31:D31"/>
    <mergeCell ref="B20:D20"/>
    <mergeCell ref="B21:D21"/>
    <mergeCell ref="B22:D22"/>
    <mergeCell ref="B23:D23"/>
    <mergeCell ref="B24:D24"/>
    <mergeCell ref="B25:D25"/>
    <mergeCell ref="B18:D18"/>
    <mergeCell ref="B19:D19"/>
    <mergeCell ref="A1:I1"/>
    <mergeCell ref="B8:D8"/>
    <mergeCell ref="B9:D9"/>
    <mergeCell ref="B10:F10"/>
    <mergeCell ref="B11:F11"/>
    <mergeCell ref="B12:F12"/>
    <mergeCell ref="B13:F13"/>
    <mergeCell ref="B15:D1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25">
      <selection activeCell="G3" sqref="G1:I16384"/>
    </sheetView>
  </sheetViews>
  <sheetFormatPr defaultColWidth="9.00390625" defaultRowHeight="15.75"/>
  <cols>
    <col min="1" max="1" width="8.625" style="0" customWidth="1"/>
    <col min="2" max="2" width="27.75390625" style="0" customWidth="1"/>
    <col min="3" max="3" width="7.375" style="0" customWidth="1"/>
    <col min="4" max="4" width="18.50390625" style="0" customWidth="1"/>
    <col min="5" max="5" width="19.25390625" style="0" customWidth="1"/>
    <col min="6" max="6" width="22.50390625" style="0" hidden="1" customWidth="1"/>
    <col min="7" max="7" width="14.875" style="0" hidden="1" customWidth="1"/>
    <col min="8" max="8" width="10.625" style="0" hidden="1" customWidth="1"/>
    <col min="9" max="9" width="11.625" style="0" hidden="1" customWidth="1"/>
    <col min="10" max="10" width="22.25390625" style="0" customWidth="1"/>
  </cols>
  <sheetData>
    <row r="1" spans="1:10" ht="98.25" customHeight="1">
      <c r="A1" s="193" t="s">
        <v>160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68.25" customHeight="1">
      <c r="A2" s="194" t="s">
        <v>161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2:9" ht="31.5">
      <c r="B3" s="1" t="s">
        <v>159</v>
      </c>
      <c r="C3" s="2"/>
      <c r="D3" s="105" t="s">
        <v>151</v>
      </c>
      <c r="E3" s="4">
        <v>4417.3</v>
      </c>
      <c r="F3" s="2"/>
      <c r="I3" s="72"/>
    </row>
    <row r="4" spans="2:6" ht="15.75">
      <c r="B4" s="3" t="s">
        <v>1</v>
      </c>
      <c r="C4" s="125">
        <v>5</v>
      </c>
      <c r="D4" s="2" t="s">
        <v>2</v>
      </c>
      <c r="E4" s="4">
        <v>90</v>
      </c>
      <c r="F4" s="2"/>
    </row>
    <row r="5" spans="2:9" ht="15.75">
      <c r="B5" s="3" t="s">
        <v>3</v>
      </c>
      <c r="C5" s="4">
        <v>6</v>
      </c>
      <c r="D5" s="2" t="s">
        <v>4</v>
      </c>
      <c r="E5" s="126" t="s">
        <v>16</v>
      </c>
      <c r="F5" s="2"/>
      <c r="G5" s="2"/>
      <c r="I5" s="2"/>
    </row>
    <row r="6" spans="2:7" ht="15.75">
      <c r="B6" s="3"/>
      <c r="C6" s="4"/>
      <c r="D6" s="2" t="s">
        <v>5</v>
      </c>
      <c r="E6" s="126" t="s">
        <v>16</v>
      </c>
      <c r="F6" s="2"/>
      <c r="G6" s="2"/>
    </row>
    <row r="7" spans="1:10" ht="31.5" customHeight="1">
      <c r="A7" s="11" t="s">
        <v>37</v>
      </c>
      <c r="B7" s="164" t="s">
        <v>60</v>
      </c>
      <c r="C7" s="165"/>
      <c r="D7" s="166"/>
      <c r="E7" s="7" t="s">
        <v>6</v>
      </c>
      <c r="F7" s="7" t="s">
        <v>7</v>
      </c>
      <c r="G7" s="127" t="s">
        <v>162</v>
      </c>
      <c r="H7" s="195" t="s">
        <v>163</v>
      </c>
      <c r="I7" s="196"/>
      <c r="J7" s="197"/>
    </row>
    <row r="8" spans="1:10" ht="15.75" customHeight="1">
      <c r="A8" s="12">
        <v>1</v>
      </c>
      <c r="B8" s="184"/>
      <c r="C8" s="185"/>
      <c r="D8" s="185"/>
      <c r="E8" s="185"/>
      <c r="F8" s="186"/>
      <c r="G8" s="42"/>
      <c r="H8" s="54" t="s">
        <v>62</v>
      </c>
      <c r="I8" s="43" t="s">
        <v>63</v>
      </c>
      <c r="J8" s="43" t="s">
        <v>64</v>
      </c>
    </row>
    <row r="9" spans="1:10" ht="15.75" customHeight="1">
      <c r="A9" s="12"/>
      <c r="B9" s="184" t="s">
        <v>65</v>
      </c>
      <c r="C9" s="185"/>
      <c r="D9" s="185"/>
      <c r="E9" s="185"/>
      <c r="F9" s="186"/>
      <c r="G9" s="21"/>
      <c r="H9" s="21"/>
      <c r="I9" s="21"/>
      <c r="J9" s="43"/>
    </row>
    <row r="10" spans="1:10" ht="29.25" customHeight="1">
      <c r="A10" s="44"/>
      <c r="B10" s="223" t="s">
        <v>66</v>
      </c>
      <c r="C10" s="223"/>
      <c r="D10" s="223"/>
      <c r="E10" s="223"/>
      <c r="F10" s="223"/>
      <c r="G10" s="45"/>
      <c r="H10" s="48">
        <v>281710.61</v>
      </c>
      <c r="I10" s="29"/>
      <c r="J10" s="128">
        <f>H10+I10</f>
        <v>281710.61</v>
      </c>
    </row>
    <row r="11" spans="1:10" ht="15.75" customHeight="1">
      <c r="A11" s="44"/>
      <c r="B11" s="223" t="s">
        <v>67</v>
      </c>
      <c r="C11" s="223"/>
      <c r="D11" s="223"/>
      <c r="E11" s="223"/>
      <c r="F11" s="223"/>
      <c r="G11" s="45"/>
      <c r="H11" s="129">
        <v>17253.56</v>
      </c>
      <c r="I11" s="29"/>
      <c r="J11" s="128">
        <f>H11+I11</f>
        <v>17253.56</v>
      </c>
    </row>
    <row r="12" spans="1:10" ht="15.75" customHeight="1">
      <c r="A12" s="12"/>
      <c r="B12" s="223" t="s">
        <v>68</v>
      </c>
      <c r="C12" s="223"/>
      <c r="D12" s="223"/>
      <c r="E12" s="223"/>
      <c r="F12" s="223"/>
      <c r="G12" s="45"/>
      <c r="H12" s="48"/>
      <c r="I12" s="29">
        <v>4236.63</v>
      </c>
      <c r="J12" s="128">
        <f>H12+I12</f>
        <v>4236.63</v>
      </c>
    </row>
    <row r="13" spans="1:10" ht="15.75" customHeight="1">
      <c r="A13" s="12"/>
      <c r="B13" s="223" t="s">
        <v>152</v>
      </c>
      <c r="C13" s="223"/>
      <c r="D13" s="223"/>
      <c r="E13" s="223"/>
      <c r="F13" s="223"/>
      <c r="G13" s="45"/>
      <c r="H13" s="48"/>
      <c r="I13" s="130"/>
      <c r="J13" s="128">
        <f>H13+I13</f>
        <v>0</v>
      </c>
    </row>
    <row r="14" spans="1:10" ht="15.75" customHeight="1">
      <c r="A14" s="12"/>
      <c r="B14" s="220" t="s">
        <v>70</v>
      </c>
      <c r="C14" s="220"/>
      <c r="D14" s="220"/>
      <c r="E14" s="220"/>
      <c r="F14" s="220"/>
      <c r="G14" s="45"/>
      <c r="H14" s="131">
        <f>SUM(H10:H12)</f>
        <v>298964.17</v>
      </c>
      <c r="I14" s="50">
        <f>SUM(I10:I12)</f>
        <v>4236.63</v>
      </c>
      <c r="J14" s="131">
        <f>SUM(J10:J13)</f>
        <v>303200.8</v>
      </c>
    </row>
    <row r="15" spans="1:10" ht="15.75" customHeight="1">
      <c r="A15" s="12">
        <v>2</v>
      </c>
      <c r="B15" s="222" t="s">
        <v>38</v>
      </c>
      <c r="C15" s="222"/>
      <c r="D15" s="222"/>
      <c r="E15" s="222"/>
      <c r="F15" s="222"/>
      <c r="G15" s="45"/>
      <c r="H15" s="48"/>
      <c r="I15" s="29"/>
      <c r="J15" s="132"/>
    </row>
    <row r="16" spans="1:10" ht="18.75" customHeight="1">
      <c r="A16" s="12" t="s">
        <v>57</v>
      </c>
      <c r="B16" s="52" t="s">
        <v>39</v>
      </c>
      <c r="C16" s="52"/>
      <c r="D16" s="52"/>
      <c r="E16" s="52"/>
      <c r="F16" s="53"/>
      <c r="G16" s="54"/>
      <c r="H16" s="54"/>
      <c r="I16" s="41"/>
      <c r="J16" s="43"/>
    </row>
    <row r="17" spans="1:10" ht="31.5" customHeight="1">
      <c r="A17" s="55"/>
      <c r="B17" s="225" t="s">
        <v>54</v>
      </c>
      <c r="C17" s="225"/>
      <c r="D17" s="225"/>
      <c r="E17" s="113" t="s">
        <v>31</v>
      </c>
      <c r="F17" s="56" t="s">
        <v>23</v>
      </c>
      <c r="G17" s="33">
        <v>1.12</v>
      </c>
      <c r="H17" s="58">
        <f>ROUND($E$3*G17*6,2)</f>
        <v>29684.26</v>
      </c>
      <c r="I17" s="133"/>
      <c r="J17" s="134">
        <f>SUM(H17:I17)</f>
        <v>29684.26</v>
      </c>
    </row>
    <row r="18" spans="1:10" ht="15.75" customHeight="1">
      <c r="A18" s="12"/>
      <c r="B18" s="226" t="s">
        <v>17</v>
      </c>
      <c r="C18" s="226"/>
      <c r="D18" s="226"/>
      <c r="E18" s="113" t="s">
        <v>31</v>
      </c>
      <c r="F18" s="56" t="s">
        <v>18</v>
      </c>
      <c r="G18" s="33">
        <v>0.3</v>
      </c>
      <c r="H18" s="58">
        <f>ROUND($E$3*G18*6,2)</f>
        <v>7951.14</v>
      </c>
      <c r="I18" s="133"/>
      <c r="J18" s="134">
        <f>SUM(H18:I18)</f>
        <v>7951.14</v>
      </c>
    </row>
    <row r="19" spans="1:10" ht="15.75" customHeight="1">
      <c r="A19" s="12"/>
      <c r="B19" s="224" t="s">
        <v>22</v>
      </c>
      <c r="C19" s="224"/>
      <c r="D19" s="224"/>
      <c r="E19" s="115" t="s">
        <v>71</v>
      </c>
      <c r="F19" s="14" t="s">
        <v>19</v>
      </c>
      <c r="G19" s="33">
        <v>0.41</v>
      </c>
      <c r="H19" s="58">
        <v>2673.5</v>
      </c>
      <c r="I19" s="133"/>
      <c r="J19" s="135">
        <f>H19+I19</f>
        <v>2673.5</v>
      </c>
    </row>
    <row r="20" spans="1:10" ht="15.75" customHeight="1">
      <c r="A20" s="55"/>
      <c r="B20" s="225" t="s">
        <v>30</v>
      </c>
      <c r="C20" s="225"/>
      <c r="D20" s="225"/>
      <c r="E20" s="116" t="s">
        <v>9</v>
      </c>
      <c r="F20" s="60" t="s">
        <v>10</v>
      </c>
      <c r="G20" s="33">
        <v>0.54</v>
      </c>
      <c r="H20" s="58">
        <f>ROUND($E$3*G20*6,2)</f>
        <v>14312.05</v>
      </c>
      <c r="I20" s="133"/>
      <c r="J20" s="134">
        <f>SUM(H20:I20)</f>
        <v>14312.05</v>
      </c>
    </row>
    <row r="21" spans="1:10" ht="52.5" customHeight="1">
      <c r="A21" s="12"/>
      <c r="B21" s="224" t="s">
        <v>26</v>
      </c>
      <c r="C21" s="224"/>
      <c r="D21" s="224"/>
      <c r="E21" s="115" t="s">
        <v>72</v>
      </c>
      <c r="F21" s="14" t="s">
        <v>24</v>
      </c>
      <c r="G21" s="33">
        <v>0.13</v>
      </c>
      <c r="H21" s="58">
        <v>4453.08</v>
      </c>
      <c r="I21" s="133"/>
      <c r="J21" s="135">
        <f>H21+I21</f>
        <v>4453.08</v>
      </c>
    </row>
    <row r="22" spans="1:10" ht="27.75" customHeight="1">
      <c r="A22" s="55"/>
      <c r="B22" s="224" t="s">
        <v>11</v>
      </c>
      <c r="C22" s="224"/>
      <c r="D22" s="224"/>
      <c r="E22" s="115" t="s">
        <v>9</v>
      </c>
      <c r="F22" s="14" t="s">
        <v>12</v>
      </c>
      <c r="G22" s="102">
        <v>0</v>
      </c>
      <c r="H22" s="58">
        <f>ROUND($E$3*G22*6,2)</f>
        <v>0</v>
      </c>
      <c r="I22" s="133"/>
      <c r="J22" s="134">
        <f>SUM(H22:I22)</f>
        <v>0</v>
      </c>
    </row>
    <row r="23" spans="1:10" ht="15.75" customHeight="1">
      <c r="A23" s="55"/>
      <c r="B23" s="224" t="s">
        <v>25</v>
      </c>
      <c r="C23" s="227"/>
      <c r="D23" s="227"/>
      <c r="E23" s="118" t="s">
        <v>13</v>
      </c>
      <c r="F23" s="17" t="s">
        <v>14</v>
      </c>
      <c r="G23" s="33">
        <v>0.05</v>
      </c>
      <c r="H23" s="58">
        <v>5398.2</v>
      </c>
      <c r="I23" s="133"/>
      <c r="J23" s="135">
        <f>H23+I23</f>
        <v>5398.2</v>
      </c>
    </row>
    <row r="24" spans="1:10" ht="25.5">
      <c r="A24" s="12"/>
      <c r="B24" s="224" t="s">
        <v>73</v>
      </c>
      <c r="C24" s="224"/>
      <c r="D24" s="224"/>
      <c r="E24" s="113" t="s">
        <v>34</v>
      </c>
      <c r="F24" s="136" t="s">
        <v>41</v>
      </c>
      <c r="G24" s="33">
        <v>2.28</v>
      </c>
      <c r="H24" s="58">
        <f>ROUND($E$3*G24*6,2)</f>
        <v>60428.66</v>
      </c>
      <c r="I24" s="133"/>
      <c r="J24" s="134">
        <f aca="true" t="shared" si="0" ref="J24:J29">SUM(H24:I24)</f>
        <v>60428.66</v>
      </c>
    </row>
    <row r="25" spans="1:10" ht="41.25" customHeight="1">
      <c r="A25" s="12"/>
      <c r="B25" s="226" t="s">
        <v>15</v>
      </c>
      <c r="C25" s="226"/>
      <c r="D25" s="226"/>
      <c r="E25" s="113" t="s">
        <v>153</v>
      </c>
      <c r="F25" s="136" t="s">
        <v>41</v>
      </c>
      <c r="G25" s="33">
        <v>0.47</v>
      </c>
      <c r="H25" s="58">
        <v>12604.02</v>
      </c>
      <c r="I25" s="133"/>
      <c r="J25" s="134">
        <f>H25+I25</f>
        <v>12604.02</v>
      </c>
    </row>
    <row r="26" spans="1:10" ht="34.5" customHeight="1">
      <c r="A26" s="12"/>
      <c r="B26" s="173" t="s">
        <v>154</v>
      </c>
      <c r="C26" s="176"/>
      <c r="D26" s="177"/>
      <c r="E26" s="113" t="s">
        <v>34</v>
      </c>
      <c r="F26" s="136" t="s">
        <v>41</v>
      </c>
      <c r="G26" s="33">
        <f>3.67-G27-G28</f>
        <v>3.67</v>
      </c>
      <c r="H26" s="58">
        <f>ROUND($E$3*G26*6,2)</f>
        <v>97268.95</v>
      </c>
      <c r="I26" s="137"/>
      <c r="J26" s="134">
        <f t="shared" si="0"/>
        <v>97268.95</v>
      </c>
    </row>
    <row r="27" spans="1:10" ht="20.25" customHeight="1">
      <c r="A27" s="55"/>
      <c r="B27" s="224" t="s">
        <v>76</v>
      </c>
      <c r="C27" s="224"/>
      <c r="D27" s="224"/>
      <c r="E27" s="115" t="s">
        <v>9</v>
      </c>
      <c r="F27" s="136" t="s">
        <v>41</v>
      </c>
      <c r="G27" s="102">
        <v>0</v>
      </c>
      <c r="H27" s="58">
        <f>ROUND($E$3*G27*6,2)</f>
        <v>0</v>
      </c>
      <c r="I27" s="137"/>
      <c r="J27" s="134">
        <f t="shared" si="0"/>
        <v>0</v>
      </c>
    </row>
    <row r="28" spans="1:10" ht="15.75" customHeight="1">
      <c r="A28" s="12"/>
      <c r="B28" s="224" t="s">
        <v>77</v>
      </c>
      <c r="C28" s="224"/>
      <c r="D28" s="224"/>
      <c r="E28" s="115" t="s">
        <v>9</v>
      </c>
      <c r="F28" s="136" t="s">
        <v>41</v>
      </c>
      <c r="G28" s="102">
        <v>0</v>
      </c>
      <c r="H28" s="58">
        <f>ROUND($E$3*G28*6,2)</f>
        <v>0</v>
      </c>
      <c r="I28" s="137"/>
      <c r="J28" s="134">
        <f t="shared" si="0"/>
        <v>0</v>
      </c>
    </row>
    <row r="29" spans="1:10" ht="25.5">
      <c r="A29" s="12"/>
      <c r="B29" s="227" t="s">
        <v>20</v>
      </c>
      <c r="C29" s="227"/>
      <c r="D29" s="227"/>
      <c r="E29" s="115" t="s">
        <v>34</v>
      </c>
      <c r="F29" s="136" t="s">
        <v>41</v>
      </c>
      <c r="G29" s="33">
        <v>1.12</v>
      </c>
      <c r="H29" s="58">
        <f>ROUND($E$3*G29*6,2)</f>
        <v>29684.26</v>
      </c>
      <c r="I29" s="133"/>
      <c r="J29" s="134">
        <f t="shared" si="0"/>
        <v>29684.26</v>
      </c>
    </row>
    <row r="30" spans="1:10" ht="15.75" customHeight="1">
      <c r="A30" s="12"/>
      <c r="B30" s="161"/>
      <c r="C30" s="162"/>
      <c r="D30" s="163"/>
      <c r="E30" s="115"/>
      <c r="F30" s="136"/>
      <c r="G30" s="17"/>
      <c r="H30" s="62"/>
      <c r="I30" s="130"/>
      <c r="J30" s="138"/>
    </row>
    <row r="31" spans="1:10" ht="15.75">
      <c r="A31" s="12"/>
      <c r="B31" s="229" t="s">
        <v>29</v>
      </c>
      <c r="C31" s="229"/>
      <c r="D31" s="229"/>
      <c r="E31" s="12"/>
      <c r="F31" s="136"/>
      <c r="G31" s="13">
        <f>SUM(G17:G29)</f>
        <v>10.09</v>
      </c>
      <c r="H31" s="40">
        <f>SUM(H17:H30)</f>
        <v>264458.12</v>
      </c>
      <c r="I31" s="50">
        <f>SUM(I17:I30)</f>
        <v>0</v>
      </c>
      <c r="J31" s="40">
        <f>SUM(J17:J30)</f>
        <v>264458.12</v>
      </c>
    </row>
    <row r="32" spans="1:10" ht="16.5" customHeight="1" hidden="1">
      <c r="A32" s="12"/>
      <c r="B32" s="175" t="s">
        <v>78</v>
      </c>
      <c r="C32" s="176"/>
      <c r="D32" s="177"/>
      <c r="E32" s="115" t="s">
        <v>9</v>
      </c>
      <c r="F32" s="136"/>
      <c r="G32" s="17"/>
      <c r="H32" s="62"/>
      <c r="I32" s="130"/>
      <c r="J32" s="138"/>
    </row>
    <row r="33" spans="1:10" ht="25.5" customHeight="1" hidden="1">
      <c r="A33" s="12"/>
      <c r="B33" s="175" t="s">
        <v>79</v>
      </c>
      <c r="C33" s="176"/>
      <c r="D33" s="177"/>
      <c r="E33" s="113" t="s">
        <v>34</v>
      </c>
      <c r="F33" s="136"/>
      <c r="G33" s="17"/>
      <c r="H33" s="62"/>
      <c r="I33" s="130"/>
      <c r="J33" s="138"/>
    </row>
    <row r="34" spans="1:10" ht="15.75">
      <c r="A34" s="12"/>
      <c r="B34" s="161"/>
      <c r="C34" s="162"/>
      <c r="D34" s="163"/>
      <c r="E34" s="115"/>
      <c r="F34" s="136"/>
      <c r="G34" s="17"/>
      <c r="H34" s="62"/>
      <c r="I34" s="130"/>
      <c r="J34" s="138"/>
    </row>
    <row r="35" spans="1:10" ht="23.25" customHeight="1">
      <c r="A35" s="12" t="s">
        <v>58</v>
      </c>
      <c r="B35" s="167" t="s">
        <v>155</v>
      </c>
      <c r="C35" s="168"/>
      <c r="D35" s="169"/>
      <c r="E35" s="139" t="s">
        <v>122</v>
      </c>
      <c r="F35" s="136" t="s">
        <v>41</v>
      </c>
      <c r="G35" s="13">
        <f>H35/E3/4</f>
        <v>6.691106558304846</v>
      </c>
      <c r="H35" s="59">
        <v>118226.5</v>
      </c>
      <c r="I35" s="140">
        <v>0</v>
      </c>
      <c r="J35" s="40">
        <f>SUM(H35:I35)</f>
        <v>118226.5</v>
      </c>
    </row>
    <row r="36" spans="1:10" ht="15.75" customHeight="1">
      <c r="A36" s="141"/>
      <c r="B36" s="228" t="s">
        <v>40</v>
      </c>
      <c r="C36" s="228"/>
      <c r="D36" s="228"/>
      <c r="E36" s="228"/>
      <c r="F36" s="228"/>
      <c r="G36" s="13">
        <f>SUM(G31:G35)</f>
        <v>16.781106558304845</v>
      </c>
      <c r="H36" s="68">
        <f>SUM(H31:H35)</f>
        <v>382684.62</v>
      </c>
      <c r="I36" s="66">
        <f>SUM(I31:I35)</f>
        <v>0</v>
      </c>
      <c r="J36" s="66">
        <f>SUM(J31:J35)</f>
        <v>382684.62</v>
      </c>
    </row>
    <row r="37" spans="1:10" ht="15.75" customHeight="1">
      <c r="A37" s="12" t="s">
        <v>59</v>
      </c>
      <c r="B37" s="230" t="s">
        <v>81</v>
      </c>
      <c r="C37" s="230"/>
      <c r="D37" s="230"/>
      <c r="E37" s="139" t="s">
        <v>122</v>
      </c>
      <c r="F37" s="142"/>
      <c r="G37" s="13">
        <f>H37/E3/4</f>
        <v>0</v>
      </c>
      <c r="H37" s="67">
        <v>0</v>
      </c>
      <c r="I37" s="67">
        <v>0</v>
      </c>
      <c r="J37" s="143">
        <f>SUM(H37:I37)</f>
        <v>0</v>
      </c>
    </row>
    <row r="38" spans="1:10" ht="15.75" customHeight="1">
      <c r="A38" s="141"/>
      <c r="B38" s="228" t="s">
        <v>82</v>
      </c>
      <c r="C38" s="228"/>
      <c r="D38" s="228"/>
      <c r="E38" s="228"/>
      <c r="F38" s="228"/>
      <c r="G38" s="13">
        <f>SUM(G36:G37)</f>
        <v>16.781106558304845</v>
      </c>
      <c r="H38" s="68">
        <f>SUM(H36:H37)</f>
        <v>382684.62</v>
      </c>
      <c r="I38" s="66">
        <f>SUM(I36:I37)</f>
        <v>0</v>
      </c>
      <c r="J38" s="66">
        <f>SUM(J36:J37)</f>
        <v>382684.62</v>
      </c>
    </row>
    <row r="39" spans="1:10" ht="26.25" customHeight="1">
      <c r="A39" s="12">
        <v>3</v>
      </c>
      <c r="B39" s="173" t="s">
        <v>164</v>
      </c>
      <c r="C39" s="174"/>
      <c r="D39" s="174"/>
      <c r="E39" s="174"/>
      <c r="F39" s="174"/>
      <c r="G39" s="104"/>
      <c r="H39" s="58">
        <f>H14-H38</f>
        <v>-83720.45000000001</v>
      </c>
      <c r="I39" s="58"/>
      <c r="J39" s="50">
        <f>J14-J38</f>
        <v>-79483.82</v>
      </c>
    </row>
    <row r="40" spans="1:10" ht="15" customHeight="1">
      <c r="A40" s="39"/>
      <c r="B40" s="124"/>
      <c r="C40" s="124"/>
      <c r="D40" s="124"/>
      <c r="E40" s="124"/>
      <c r="F40" s="124"/>
      <c r="G40" s="124"/>
      <c r="H40" s="144"/>
      <c r="I40" s="145"/>
      <c r="J40" s="146"/>
    </row>
    <row r="41" spans="2:6" ht="15.75" customHeight="1">
      <c r="B41" s="18"/>
      <c r="F41" s="18"/>
    </row>
    <row r="42" spans="2:6" ht="15.75">
      <c r="B42" s="22" t="s">
        <v>83</v>
      </c>
      <c r="C42" s="22"/>
      <c r="D42" s="22"/>
      <c r="E42" s="18"/>
      <c r="F42" s="18"/>
    </row>
    <row r="43" spans="2:4" ht="15.75">
      <c r="B43" s="22"/>
      <c r="C43" s="22"/>
      <c r="D43" s="22"/>
    </row>
    <row r="44" spans="2:5" ht="15.75">
      <c r="B44" s="70" t="s">
        <v>156</v>
      </c>
      <c r="C44" s="70"/>
      <c r="D44" s="23"/>
      <c r="E44" s="71" t="s">
        <v>157</v>
      </c>
    </row>
    <row r="45" ht="15.75">
      <c r="B45" s="18" t="s">
        <v>158</v>
      </c>
    </row>
    <row r="46" spans="2:4" ht="15.75">
      <c r="B46" s="156" t="s">
        <v>85</v>
      </c>
      <c r="C46" s="156"/>
      <c r="D46" s="156"/>
    </row>
  </sheetData>
  <sheetProtection/>
  <mergeCells count="36">
    <mergeCell ref="B37:D37"/>
    <mergeCell ref="B38:F38"/>
    <mergeCell ref="B39:F39"/>
    <mergeCell ref="B46:D46"/>
    <mergeCell ref="B29:D29"/>
    <mergeCell ref="B30:D30"/>
    <mergeCell ref="B31:D31"/>
    <mergeCell ref="B32:D32"/>
    <mergeCell ref="B33:D33"/>
    <mergeCell ref="B34:D34"/>
    <mergeCell ref="B35:D35"/>
    <mergeCell ref="B36:F36"/>
    <mergeCell ref="B23:D23"/>
    <mergeCell ref="B24:D24"/>
    <mergeCell ref="B25:D25"/>
    <mergeCell ref="B26:D26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PageLayoutView="0" workbookViewId="0" topLeftCell="A1">
      <selection activeCell="A1" sqref="A1:S1"/>
    </sheetView>
  </sheetViews>
  <sheetFormatPr defaultColWidth="9.00390625" defaultRowHeight="15.75"/>
  <cols>
    <col min="1" max="1" width="12.375" style="0" customWidth="1"/>
    <col min="2" max="2" width="14.25390625" style="0" customWidth="1"/>
    <col min="3" max="3" width="12.00390625" style="0" customWidth="1"/>
    <col min="4" max="4" width="9.75390625" style="0" customWidth="1"/>
    <col min="5" max="6" width="11.875" style="0" customWidth="1"/>
    <col min="7" max="7" width="9.75390625" style="0" customWidth="1"/>
    <col min="8" max="8" width="12.00390625" style="0" customWidth="1"/>
    <col min="9" max="9" width="10.375" style="0" customWidth="1"/>
    <col min="11" max="11" width="9.25390625" style="0" customWidth="1"/>
    <col min="12" max="12" width="11.75390625" style="0" customWidth="1"/>
    <col min="13" max="13" width="11.875" style="0" customWidth="1"/>
    <col min="14" max="14" width="10.125" style="0" customWidth="1"/>
    <col min="15" max="15" width="11.25390625" style="0" customWidth="1"/>
    <col min="16" max="16" width="10.25390625" style="0" customWidth="1"/>
    <col min="17" max="17" width="10.75390625" style="0" customWidth="1"/>
    <col min="18" max="18" width="11.625" style="0" customWidth="1"/>
    <col min="19" max="19" width="10.875" style="0" customWidth="1"/>
  </cols>
  <sheetData>
    <row r="1" spans="1:19" ht="71.25" customHeight="1">
      <c r="A1" s="231" t="s">
        <v>170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15.75" customHeight="1">
      <c r="A2" s="232" t="s">
        <v>165</v>
      </c>
      <c r="B2" s="233" t="s">
        <v>88</v>
      </c>
      <c r="C2" s="233" t="s">
        <v>89</v>
      </c>
      <c r="D2" s="233"/>
      <c r="E2" s="233"/>
      <c r="F2" s="233"/>
      <c r="G2" s="233"/>
      <c r="H2" s="233"/>
      <c r="I2" s="233"/>
      <c r="J2" s="234" t="s">
        <v>90</v>
      </c>
      <c r="K2" s="234"/>
      <c r="L2" s="234"/>
      <c r="M2" s="235" t="s">
        <v>91</v>
      </c>
      <c r="N2" s="233" t="s">
        <v>92</v>
      </c>
      <c r="O2" s="233"/>
      <c r="P2" s="233"/>
      <c r="Q2" s="233"/>
      <c r="R2" s="233"/>
      <c r="S2" s="238" t="s">
        <v>93</v>
      </c>
    </row>
    <row r="3" spans="1:19" ht="17.25" customHeight="1">
      <c r="A3" s="233"/>
      <c r="B3" s="233"/>
      <c r="C3" s="239" t="s">
        <v>94</v>
      </c>
      <c r="D3" s="240"/>
      <c r="E3" s="241"/>
      <c r="F3" s="239" t="s">
        <v>95</v>
      </c>
      <c r="G3" s="240"/>
      <c r="H3" s="241"/>
      <c r="I3" s="232" t="s">
        <v>96</v>
      </c>
      <c r="J3" s="242" t="s">
        <v>97</v>
      </c>
      <c r="K3" s="244" t="s">
        <v>98</v>
      </c>
      <c r="L3" s="242" t="s">
        <v>99</v>
      </c>
      <c r="M3" s="236"/>
      <c r="N3" s="232" t="s">
        <v>100</v>
      </c>
      <c r="O3" s="233" t="s">
        <v>101</v>
      </c>
      <c r="P3" s="233" t="s">
        <v>102</v>
      </c>
      <c r="Q3" s="233" t="s">
        <v>103</v>
      </c>
      <c r="R3" s="233" t="s">
        <v>104</v>
      </c>
      <c r="S3" s="238"/>
    </row>
    <row r="4" spans="1:19" ht="33" customHeight="1">
      <c r="A4" s="233"/>
      <c r="B4" s="233"/>
      <c r="C4" s="76" t="s">
        <v>105</v>
      </c>
      <c r="D4" s="77" t="s">
        <v>103</v>
      </c>
      <c r="E4" s="77" t="s">
        <v>104</v>
      </c>
      <c r="F4" s="76" t="s">
        <v>105</v>
      </c>
      <c r="G4" s="77" t="s">
        <v>103</v>
      </c>
      <c r="H4" s="77" t="s">
        <v>104</v>
      </c>
      <c r="I4" s="232"/>
      <c r="J4" s="243"/>
      <c r="K4" s="245"/>
      <c r="L4" s="243"/>
      <c r="M4" s="237"/>
      <c r="N4" s="233"/>
      <c r="O4" s="233"/>
      <c r="P4" s="233"/>
      <c r="Q4" s="233"/>
      <c r="R4" s="233"/>
      <c r="S4" s="238"/>
    </row>
    <row r="5" spans="1:19" ht="33.75" customHeight="1">
      <c r="A5" s="77">
        <v>1</v>
      </c>
      <c r="B5" s="77">
        <v>2</v>
      </c>
      <c r="C5" s="76">
        <v>3</v>
      </c>
      <c r="D5" s="77">
        <v>4</v>
      </c>
      <c r="E5" s="77" t="s">
        <v>106</v>
      </c>
      <c r="F5" s="76">
        <v>6</v>
      </c>
      <c r="G5" s="77">
        <v>7</v>
      </c>
      <c r="H5" s="77" t="s">
        <v>107</v>
      </c>
      <c r="I5" s="76" t="s">
        <v>108</v>
      </c>
      <c r="J5" s="77">
        <v>10</v>
      </c>
      <c r="K5" s="77">
        <v>11</v>
      </c>
      <c r="L5" s="76">
        <v>12</v>
      </c>
      <c r="M5" s="76" t="s">
        <v>109</v>
      </c>
      <c r="N5" s="77">
        <v>14</v>
      </c>
      <c r="O5" s="76">
        <v>15</v>
      </c>
      <c r="P5" s="77">
        <v>16</v>
      </c>
      <c r="Q5" s="77">
        <v>17</v>
      </c>
      <c r="R5" s="76" t="s">
        <v>110</v>
      </c>
      <c r="S5" s="79" t="s">
        <v>111</v>
      </c>
    </row>
    <row r="6" spans="1:19" ht="15.75">
      <c r="A6" s="80">
        <v>-537693.1</v>
      </c>
      <c r="B6" s="78" t="s">
        <v>166</v>
      </c>
      <c r="C6" s="80">
        <v>288728.88</v>
      </c>
      <c r="D6" s="80">
        <v>17758.56</v>
      </c>
      <c r="E6" s="80">
        <f aca="true" t="shared" si="0" ref="E6:E11">SUM(C6:D6)</f>
        <v>306487.44</v>
      </c>
      <c r="F6" s="80">
        <v>281710.61</v>
      </c>
      <c r="G6" s="80">
        <v>17253.05</v>
      </c>
      <c r="H6" s="80">
        <f aca="true" t="shared" si="1" ref="H6:H11">SUM(F6:G6)</f>
        <v>298963.66</v>
      </c>
      <c r="I6" s="81">
        <f aca="true" t="shared" si="2" ref="I6:I11">E6-H6</f>
        <v>7523.780000000028</v>
      </c>
      <c r="J6" s="80">
        <v>4236.63</v>
      </c>
      <c r="K6" s="80">
        <v>0</v>
      </c>
      <c r="L6" s="80">
        <v>0</v>
      </c>
      <c r="M6" s="80">
        <f aca="true" t="shared" si="3" ref="M6:M11">H6+J6+K6+L6</f>
        <v>303200.29</v>
      </c>
      <c r="N6" s="80">
        <f>'отчет 2012(07-12)'!J29</f>
        <v>29684.26</v>
      </c>
      <c r="O6" s="80">
        <f>'отчет 2012(07-12)'!J31-'отчет 2012(07-12)'!J29</f>
        <v>234773.86</v>
      </c>
      <c r="P6" s="80">
        <f>'отчет 2012(07-12)'!J35</f>
        <v>118226.5</v>
      </c>
      <c r="Q6" s="81">
        <v>0</v>
      </c>
      <c r="R6" s="80">
        <f>SUM(N6:Q6)</f>
        <v>382684.62</v>
      </c>
      <c r="S6" s="80">
        <f>M6-R6</f>
        <v>-79484.33000000002</v>
      </c>
    </row>
    <row r="7" spans="1:19" ht="15.75">
      <c r="A7" s="80"/>
      <c r="B7" s="78"/>
      <c r="C7" s="80"/>
      <c r="D7" s="80"/>
      <c r="E7" s="80">
        <f t="shared" si="0"/>
        <v>0</v>
      </c>
      <c r="F7" s="80"/>
      <c r="G7" s="80"/>
      <c r="H7" s="80">
        <f t="shared" si="1"/>
        <v>0</v>
      </c>
      <c r="I7" s="81">
        <f t="shared" si="2"/>
        <v>0</v>
      </c>
      <c r="J7" s="80"/>
      <c r="K7" s="80"/>
      <c r="L7" s="80"/>
      <c r="M7" s="80">
        <f t="shared" si="3"/>
        <v>0</v>
      </c>
      <c r="N7" s="80"/>
      <c r="O7" s="80"/>
      <c r="P7" s="80"/>
      <c r="Q7" s="81"/>
      <c r="R7" s="80">
        <f>SUM(N7:Q7)</f>
        <v>0</v>
      </c>
      <c r="S7" s="80">
        <f>M7-R7</f>
        <v>0</v>
      </c>
    </row>
    <row r="8" spans="1:19" ht="15.75">
      <c r="A8" s="80"/>
      <c r="B8" s="78"/>
      <c r="C8" s="80"/>
      <c r="D8" s="80"/>
      <c r="E8" s="80">
        <f t="shared" si="0"/>
        <v>0</v>
      </c>
      <c r="F8" s="80"/>
      <c r="G8" s="80"/>
      <c r="H8" s="80">
        <f t="shared" si="1"/>
        <v>0</v>
      </c>
      <c r="I8" s="81">
        <f t="shared" si="2"/>
        <v>0</v>
      </c>
      <c r="J8" s="80"/>
      <c r="K8" s="80"/>
      <c r="L8" s="80"/>
      <c r="M8" s="80">
        <f t="shared" si="3"/>
        <v>0</v>
      </c>
      <c r="N8" s="80"/>
      <c r="O8" s="80"/>
      <c r="P8" s="80"/>
      <c r="Q8" s="81"/>
      <c r="R8" s="80">
        <f>SUM(N8:Q8)</f>
        <v>0</v>
      </c>
      <c r="S8" s="80">
        <f>M8-R8</f>
        <v>0</v>
      </c>
    </row>
    <row r="9" spans="1:19" ht="15.75">
      <c r="A9" s="80"/>
      <c r="B9" s="78"/>
      <c r="C9" s="80"/>
      <c r="D9" s="80"/>
      <c r="E9" s="80">
        <f t="shared" si="0"/>
        <v>0</v>
      </c>
      <c r="F9" s="80"/>
      <c r="G9" s="80"/>
      <c r="H9" s="80">
        <f t="shared" si="1"/>
        <v>0</v>
      </c>
      <c r="I9" s="81">
        <f t="shared" si="2"/>
        <v>0</v>
      </c>
      <c r="J9" s="80"/>
      <c r="K9" s="80"/>
      <c r="L9" s="80"/>
      <c r="M9" s="80">
        <f t="shared" si="3"/>
        <v>0</v>
      </c>
      <c r="N9" s="80"/>
      <c r="O9" s="80"/>
      <c r="P9" s="80"/>
      <c r="Q9" s="80"/>
      <c r="R9" s="80">
        <f>SUM(N9:Q9)</f>
        <v>0</v>
      </c>
      <c r="S9" s="80">
        <f>M9-R9</f>
        <v>0</v>
      </c>
    </row>
    <row r="10" spans="1:19" ht="15.75">
      <c r="A10" s="80"/>
      <c r="B10" s="78"/>
      <c r="C10" s="80"/>
      <c r="D10" s="80"/>
      <c r="E10" s="80">
        <f t="shared" si="0"/>
        <v>0</v>
      </c>
      <c r="F10" s="80"/>
      <c r="G10" s="80"/>
      <c r="H10" s="80">
        <f t="shared" si="1"/>
        <v>0</v>
      </c>
      <c r="I10" s="81">
        <f t="shared" si="2"/>
        <v>0</v>
      </c>
      <c r="J10" s="80"/>
      <c r="K10" s="80"/>
      <c r="L10" s="80"/>
      <c r="M10" s="80">
        <f t="shared" si="3"/>
        <v>0</v>
      </c>
      <c r="N10" s="80"/>
      <c r="O10" s="80"/>
      <c r="P10" s="82"/>
      <c r="Q10" s="82"/>
      <c r="R10" s="82"/>
      <c r="S10" s="82"/>
    </row>
    <row r="11" spans="1:19" ht="16.5" thickBot="1">
      <c r="A11" s="80"/>
      <c r="B11" s="78"/>
      <c r="C11" s="80"/>
      <c r="D11" s="80"/>
      <c r="E11" s="80">
        <f t="shared" si="0"/>
        <v>0</v>
      </c>
      <c r="F11" s="80"/>
      <c r="G11" s="80"/>
      <c r="H11" s="80">
        <f t="shared" si="1"/>
        <v>0</v>
      </c>
      <c r="I11" s="81">
        <f t="shared" si="2"/>
        <v>0</v>
      </c>
      <c r="J11" s="80"/>
      <c r="K11" s="80"/>
      <c r="L11" s="80"/>
      <c r="M11" s="80">
        <f t="shared" si="3"/>
        <v>0</v>
      </c>
      <c r="N11" s="80"/>
      <c r="O11" s="80"/>
      <c r="P11" s="82"/>
      <c r="Q11" s="82"/>
      <c r="R11" s="82"/>
      <c r="S11" s="82"/>
    </row>
    <row r="12" spans="1:19" ht="16.5" thickBot="1">
      <c r="A12" s="83" t="s">
        <v>112</v>
      </c>
      <c r="B12" s="84"/>
      <c r="C12" s="85">
        <f>SUM(C6:C11)</f>
        <v>288728.88</v>
      </c>
      <c r="D12" s="85">
        <f aca="true" t="shared" si="4" ref="D12:R12">SUM(D6:D11)</f>
        <v>17758.56</v>
      </c>
      <c r="E12" s="85">
        <f t="shared" si="4"/>
        <v>306487.44</v>
      </c>
      <c r="F12" s="85">
        <f t="shared" si="4"/>
        <v>281710.61</v>
      </c>
      <c r="G12" s="85">
        <f t="shared" si="4"/>
        <v>17253.05</v>
      </c>
      <c r="H12" s="85">
        <f t="shared" si="4"/>
        <v>298963.66</v>
      </c>
      <c r="I12" s="85">
        <f t="shared" si="4"/>
        <v>7523.780000000028</v>
      </c>
      <c r="J12" s="85">
        <f t="shared" si="4"/>
        <v>4236.63</v>
      </c>
      <c r="K12" s="85">
        <f t="shared" si="4"/>
        <v>0</v>
      </c>
      <c r="L12" s="85">
        <f t="shared" si="4"/>
        <v>0</v>
      </c>
      <c r="M12" s="85">
        <f t="shared" si="4"/>
        <v>303200.29</v>
      </c>
      <c r="N12" s="85">
        <f t="shared" si="4"/>
        <v>29684.26</v>
      </c>
      <c r="O12" s="85">
        <f t="shared" si="4"/>
        <v>234773.86</v>
      </c>
      <c r="P12" s="85">
        <f t="shared" si="4"/>
        <v>118226.5</v>
      </c>
      <c r="Q12" s="85">
        <f t="shared" si="4"/>
        <v>0</v>
      </c>
      <c r="R12" s="85">
        <f t="shared" si="4"/>
        <v>382684.62</v>
      </c>
      <c r="S12" s="85">
        <f>SUM(S6:S11)+A6</f>
        <v>-617177.4299999999</v>
      </c>
    </row>
    <row r="14" spans="2:9" ht="18.75">
      <c r="B14" s="246" t="s">
        <v>167</v>
      </c>
      <c r="C14" s="246"/>
      <c r="D14" s="246"/>
      <c r="E14" s="246"/>
      <c r="F14" s="246" t="s">
        <v>168</v>
      </c>
      <c r="G14" s="246"/>
      <c r="H14" s="246"/>
      <c r="I14" s="246"/>
    </row>
    <row r="15" spans="2:9" ht="18.75">
      <c r="B15" s="147"/>
      <c r="C15" s="147"/>
      <c r="D15" s="147"/>
      <c r="E15" s="147"/>
      <c r="F15" s="147"/>
      <c r="G15" s="147"/>
      <c r="H15" s="147"/>
      <c r="I15" s="147"/>
    </row>
    <row r="16" spans="2:10" ht="18.75">
      <c r="B16" s="148" t="s">
        <v>158</v>
      </c>
      <c r="C16" s="149"/>
      <c r="D16" s="149"/>
      <c r="E16" s="149"/>
      <c r="F16" s="246" t="s">
        <v>169</v>
      </c>
      <c r="G16" s="246"/>
      <c r="H16" s="246"/>
      <c r="I16" s="149"/>
      <c r="J16" t="s">
        <v>48</v>
      </c>
    </row>
    <row r="18" ht="15.75">
      <c r="K18" t="s">
        <v>48</v>
      </c>
    </row>
    <row r="19" ht="15.75">
      <c r="E19" t="s">
        <v>48</v>
      </c>
    </row>
  </sheetData>
  <sheetProtection/>
  <mergeCells count="22">
    <mergeCell ref="B14:E14"/>
    <mergeCell ref="F14:I14"/>
    <mergeCell ref="F16:H16"/>
    <mergeCell ref="I3:I4"/>
    <mergeCell ref="J3:J4"/>
    <mergeCell ref="K3:K4"/>
    <mergeCell ref="L3:L4"/>
    <mergeCell ref="R3:R4"/>
    <mergeCell ref="N3:N4"/>
    <mergeCell ref="O3:O4"/>
    <mergeCell ref="P3:P4"/>
    <mergeCell ref="Q3:Q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2013-02-18T04:16:31Z</cp:lastPrinted>
  <dcterms:created xsi:type="dcterms:W3CDTF">2009-08-26T03:25:10Z</dcterms:created>
  <dcterms:modified xsi:type="dcterms:W3CDTF">2013-05-08T04:05:53Z</dcterms:modified>
  <cp:category/>
  <cp:version/>
  <cp:contentType/>
  <cp:contentStatus/>
</cp:coreProperties>
</file>