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2012" sheetId="3" state="hidden" r:id="rId3"/>
    <sheet name="план 2013" sheetId="4" state="hidden" r:id="rId4"/>
    <sheet name="отчет 2012(09-12)" sheetId="5" r:id="rId5"/>
    <sheet name="накоп отчет" sheetId="6" state="hidden" r:id="rId6"/>
  </sheets>
  <definedNames>
    <definedName name="_xlnm.Print_Area" localSheetId="0">'отчет 2011'!$A$1:$J$47</definedName>
  </definedNames>
  <calcPr fullCalcOnLoad="1"/>
</workbook>
</file>

<file path=xl/sharedStrings.xml><?xml version="1.0" encoding="utf-8"?>
<sst xmlns="http://schemas.openxmlformats.org/spreadsheetml/2006/main" count="451" uniqueCount="173">
  <si>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</si>
  <si>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</si>
  <si>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</si>
  <si>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</si>
  <si>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</si>
  <si>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</si>
  <si>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</si>
  <si>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</si>
  <si>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</si>
  <si>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</si>
  <si>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</si>
  <si>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</si>
  <si>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</si>
  <si>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</si>
  <si>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</si>
  <si>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</si>
  <si>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</si>
  <si>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</si>
  <si>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</si>
  <si>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</si>
  <si>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</si>
  <si>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</si>
  <si>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</si>
  <si>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</si>
  <si>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</si>
  <si>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</si>
  <si>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</si>
  <si>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</si>
  <si>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</si>
  <si>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</si>
  <si>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</si>
  <si>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</si>
  <si>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</si>
  <si>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</si>
  <si>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</si>
  <si>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</si>
  <si>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</si>
  <si>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 Добровольского, 14</t>
  </si>
  <si>
    <t>кв.м</t>
  </si>
  <si>
    <t xml:space="preserve"> 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</si>
  <si>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</si>
  <si>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</si>
  <si>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</si>
  <si>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</si>
  <si>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</si>
  <si>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</si>
  <si>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</si>
  <si>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2.3.</t>
  </si>
  <si>
    <t>Претензий по управлению нет (да)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</si>
  <si>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</si>
  <si>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</si>
  <si>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</si>
  <si>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</si>
  <si>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</si>
  <si>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</si>
  <si>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</si>
  <si>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</si>
  <si>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</si>
  <si>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</si>
  <si>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</si>
  <si>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</si>
  <si>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</si>
  <si>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</si>
  <si>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</si>
  <si>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</si>
  <si>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</si>
  <si>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</si>
  <si>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</si>
  <si>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</si>
  <si>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</si>
  <si>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</si>
  <si>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Директор ООО "ОЖКС № 5"                                               О.А. Трушкина                        </t>
  </si>
  <si>
    <t xml:space="preserve">S нежилых </t>
  </si>
  <si>
    <t xml:space="preserve">помещений, 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</si>
  <si>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</si>
  <si>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</si>
  <si>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</si>
  <si>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</si>
  <si>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</si>
  <si>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</si>
  <si>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</si>
  <si>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</si>
  <si>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</si>
  <si>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</si>
  <si>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</si>
  <si>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</si>
  <si>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</si>
  <si>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ООО  "ОЖКС № 6"</t>
  </si>
  <si>
    <t>Всего затрат: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</si>
  <si>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</si>
  <si>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</si>
  <si>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</si>
  <si>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</si>
  <si>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</si>
  <si>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</si>
  <si>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</si>
  <si>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</si>
  <si>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</si>
  <si>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</si>
  <si>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</si>
  <si>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</si>
  <si>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</si>
  <si>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</si>
  <si>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Принято: Старший по дому                                                    </t>
  </si>
  <si>
    <t xml:space="preserve">Сбор, вывоз  бытового мусора, содержание  мусоропроводов </t>
  </si>
  <si>
    <t>результат
 за год
(+эконом., 
-перерасх.)</t>
  </si>
  <si>
    <t xml:space="preserve">        Представитель собственников - старший по дому Исмаилов И.О.,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</si>
  <si>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</si>
  <si>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ОТЧЕТ
за  2011 г. о выполнении условий  договора управления МКД № 208/5 от 28.03.2008 г., 
заключенного между ООО "ОЖКС № 5" и собственниками многоквартирного дома
по адресу:  ул. Добровольского, 14</t>
  </si>
  <si>
    <t xml:space="preserve">Текущий ремонт общего имущества   </t>
  </si>
  <si>
    <t xml:space="preserve">Капитальный ремонт   </t>
  </si>
  <si>
    <t>Справочно:   индекс увеличения тарифа по году 103%</t>
  </si>
  <si>
    <t>Директор ООО "ОЖКС № 5"                                               О.А.Трушкина</t>
  </si>
  <si>
    <t>Смета доходов и расходов на 2012 г.
согласно  договора управления МКД № 208/5 от 28.03.2008 г., заключенного 
между ООО "ОЖКС № 5" и собственниками многоквартирного дома</t>
  </si>
  <si>
    <t xml:space="preserve">     И. О. Исмаилов</t>
  </si>
  <si>
    <t>- с 1 января 2012 г. тариф остается на уровне 2011 г. - 14,49 руб.</t>
  </si>
  <si>
    <t>- с 1 июля 2012г.к тарифу применен индекс 106% - 15,36 руб.</t>
  </si>
  <si>
    <t>по плану работ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</si>
  <si>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
 № ___ от "____"___________2012г.</t>
  </si>
  <si>
    <t>Расчет стоимости договора и тарифа 1 м2 на 2012 г.</t>
  </si>
  <si>
    <t>1</t>
  </si>
  <si>
    <t>1.1</t>
  </si>
  <si>
    <t>1.2</t>
  </si>
  <si>
    <t>1.3</t>
  </si>
  <si>
    <t>2</t>
  </si>
  <si>
    <t>* в случае уточнения площадей возможно изменение стоимости</t>
  </si>
  <si>
    <t xml:space="preserve">Директор ООО "ОЖКС № 5"                                                                       </t>
  </si>
  <si>
    <t xml:space="preserve">           Представитель собственников</t>
  </si>
  <si>
    <t>________________ О.А. Трушкина</t>
  </si>
  <si>
    <t xml:space="preserve">            ________________________</t>
  </si>
  <si>
    <t>5=гр.4*Sдома*4мес.</t>
  </si>
  <si>
    <t>Тариф 
на 
1 кв.м. сентябрь-декабрь 2012г.
руб.</t>
  </si>
  <si>
    <t>Стоимость работ
сентябрь-декабрь 2012г.             руб.</t>
  </si>
  <si>
    <r>
      <t xml:space="preserve">Сбор, вывоз  бытового мусора, содержание  </t>
    </r>
    <r>
      <rPr>
        <sz val="12"/>
        <rFont val="Times New Roman"/>
        <family val="1"/>
      </rPr>
      <t>мусоропроводов (контейнерных площадок)</t>
    </r>
  </si>
  <si>
    <t>Тариф с 1 сентября 2012 г. - 15,36 руб., капитальный ремонт - 0,80 руб.</t>
  </si>
  <si>
    <t>подметание асфальта -   1 раз/неделю,                
подбор мусора - ежедневно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</si>
  <si>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</si>
  <si>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</si>
  <si>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</si>
  <si>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</si>
  <si>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</si>
  <si>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</si>
  <si>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</si>
  <si>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</si>
  <si>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</si>
  <si>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 xml:space="preserve"> Текущий ремонт общего имущества  </t>
  </si>
  <si>
    <t>ООО  "ОЖКС № 3"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</si>
  <si>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</si>
  <si>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</si>
  <si>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Смета доходов и расходов  на  2013 г.
согласно договора на оказание услуг МКД № 41/5 от 08.08.2012г.,заключенного 
между ООО "ОЖКС № 5" и собственниками многоквартирного дома по адресу ул . Добровольского, 14.</t>
  </si>
  <si>
    <t>S жилых и нежилых помещений, кв.м</t>
  </si>
  <si>
    <t xml:space="preserve"> - прочие доходы </t>
  </si>
  <si>
    <t>Сбор, вывоз  бытового мусора, содержание контейнерных площадок</t>
  </si>
  <si>
    <t>ООО "ОЖКС № 5"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</si>
  <si>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</si>
  <si>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</si>
  <si>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 Текущий ремонт общего имущества </t>
  </si>
  <si>
    <t xml:space="preserve">Принято:                                                 </t>
  </si>
  <si>
    <t>__________________</t>
  </si>
  <si>
    <t>Совет МКД</t>
  </si>
  <si>
    <t>ОТЧЕТ
с 01.09.2012 г по 31.12.2012г. О выполнении договора на оказание услуг МКД № 41/5 от 08.08.2012 г., 
заключенного между ООО "ОЖКС № 5" и собственниками многоквартирного дома
по адресу:  ул. Добровольского, 14</t>
  </si>
  <si>
    <t>Адрес: ул. Добровольского, 14</t>
  </si>
  <si>
    <t xml:space="preserve">Финансовый результат с 01.09.12г. по 31.12.12г.(+ экономия,- перерасход)                                                      </t>
  </si>
  <si>
    <t>Тариф 01.09.12г-31.12.12г.</t>
  </si>
  <si>
    <t>Сумма с 01.09.12г.-31.12.12г., руб.</t>
  </si>
  <si>
    <t xml:space="preserve">Директор ООО "ОЖКС № 5"                                 </t>
  </si>
  <si>
    <t xml:space="preserve">____________ О.А. Трушкина                              </t>
  </si>
  <si>
    <t>_______________/___________/</t>
  </si>
  <si>
    <t>Сальдо
 на 01.09
+экономия
-перерасход</t>
  </si>
  <si>
    <t>за 4 мес 2012г.</t>
  </si>
  <si>
    <t>ОТЧЕТ
по договору  оказания услуг МКД № 41/5 от 08.08.2012 г., 
заключенного между ООО "ОЖКС № 5" и собственниками многоквартирного дома по адресу:  ул. Добровольского, 14</t>
  </si>
  <si>
    <t xml:space="preserve">        Совет МКД в лице______________________, с одной стороны и Общество с Ограниченной 
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01.09.2012 г по 31.12.2012г.   </t>
  </si>
  <si>
    <t>Директор ООО "ОЖКС № 5" ________________________________ О. А. Трушкина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</si>
</sst>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0" fillId="2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1" fontId="5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29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7"/>
  <sheetViews>
    <sheetView zoomScalePageLayoutView="0" workbookViewId="0" topLeftCell="A1">
      <selection activeCell="A1" sqref="A1:J1"/>
    </sheetView>
  </sheetViews>
  <sheetFormatPr defaultColWidth="9.00390625" defaultRowHeight="15.75"/>
  <cols>
    <col min="1" max="1" width="6.0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50390625" style="0" customWidth="1"/>
    <col min="6" max="6" width="18.00390625" style="0" hidden="1" customWidth="1"/>
    <col min="7" max="7" width="6.75390625" style="0" hidden="1" customWidth="1"/>
    <col min="8" max="8" width="13.00390625" style="0" customWidth="1"/>
    <col min="9" max="9" width="11.125" style="0" customWidth="1"/>
    <col min="10" max="10" width="12.50390625" style="0" customWidth="1"/>
  </cols>
  <sheetData>
    <row r="1" spans="1:10" ht="79.5" customHeight="1">
      <c r="A1" s="179" t="s">
        <v>108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54.75" customHeight="1">
      <c r="A2" s="180" t="s">
        <v>106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2:9" ht="18.75">
      <c r="B3" s="1" t="s">
        <v>37</v>
      </c>
      <c r="C3" s="2"/>
      <c r="D3" s="2" t="s">
        <v>0</v>
      </c>
      <c r="E3" s="4">
        <v>5730.7</v>
      </c>
      <c r="F3" s="2"/>
      <c r="I3" s="70">
        <v>0</v>
      </c>
    </row>
    <row r="4" spans="2:9" ht="15.75">
      <c r="B4" s="3" t="s">
        <v>1</v>
      </c>
      <c r="C4" s="17">
        <v>9</v>
      </c>
      <c r="D4" s="2" t="s">
        <v>2</v>
      </c>
      <c r="E4" s="4">
        <v>108</v>
      </c>
      <c r="F4" s="2"/>
      <c r="I4" t="s">
        <v>38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72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73</v>
      </c>
    </row>
    <row r="7" spans="1:10" ht="35.25" customHeight="1">
      <c r="A7" s="11" t="s">
        <v>32</v>
      </c>
      <c r="B7" s="181" t="s">
        <v>49</v>
      </c>
      <c r="C7" s="182"/>
      <c r="D7" s="183"/>
      <c r="E7" s="6" t="s">
        <v>6</v>
      </c>
      <c r="F7" s="6" t="s">
        <v>7</v>
      </c>
      <c r="G7" s="19" t="s">
        <v>21</v>
      </c>
      <c r="H7" s="184" t="s">
        <v>50</v>
      </c>
      <c r="I7" s="185"/>
      <c r="J7" s="186"/>
    </row>
    <row r="8" spans="1:10" ht="15.75" customHeight="1">
      <c r="A8" s="12">
        <v>1</v>
      </c>
      <c r="B8" s="171"/>
      <c r="C8" s="172"/>
      <c r="D8" s="172"/>
      <c r="E8" s="172"/>
      <c r="F8" s="173"/>
      <c r="G8" s="47"/>
      <c r="H8" s="33" t="s">
        <v>51</v>
      </c>
      <c r="I8" s="49" t="s">
        <v>52</v>
      </c>
      <c r="J8" s="49" t="s">
        <v>53</v>
      </c>
    </row>
    <row r="9" spans="1:10" ht="15.75" customHeight="1">
      <c r="A9" s="12"/>
      <c r="B9" s="171" t="s">
        <v>54</v>
      </c>
      <c r="C9" s="172"/>
      <c r="D9" s="172"/>
      <c r="E9" s="172"/>
      <c r="F9" s="173"/>
      <c r="G9" s="33"/>
      <c r="H9" s="33"/>
      <c r="I9" s="22"/>
      <c r="J9" s="49"/>
    </row>
    <row r="10" spans="1:10" ht="28.5" customHeight="1">
      <c r="A10" s="50"/>
      <c r="B10" s="187" t="s">
        <v>55</v>
      </c>
      <c r="C10" s="187"/>
      <c r="D10" s="187"/>
      <c r="E10" s="187"/>
      <c r="F10" s="187"/>
      <c r="G10" s="8"/>
      <c r="H10" s="44">
        <v>957870.5</v>
      </c>
      <c r="I10" s="30"/>
      <c r="J10" s="23">
        <f>H10+I10</f>
        <v>957870.5</v>
      </c>
    </row>
    <row r="11" spans="1:10" ht="15.75">
      <c r="A11" s="50"/>
      <c r="B11" s="187" t="s">
        <v>56</v>
      </c>
      <c r="C11" s="187"/>
      <c r="D11" s="187"/>
      <c r="E11" s="187"/>
      <c r="F11" s="187"/>
      <c r="G11" s="8"/>
      <c r="H11" s="51">
        <v>38794.36</v>
      </c>
      <c r="I11" s="30"/>
      <c r="J11" s="23">
        <f>H11+I11</f>
        <v>38794.36</v>
      </c>
    </row>
    <row r="12" spans="1:10" ht="15.75">
      <c r="A12" s="12"/>
      <c r="B12" s="187" t="s">
        <v>57</v>
      </c>
      <c r="C12" s="187"/>
      <c r="D12" s="187"/>
      <c r="E12" s="187"/>
      <c r="F12" s="187"/>
      <c r="G12" s="8"/>
      <c r="H12" s="40"/>
      <c r="I12" s="52">
        <v>0</v>
      </c>
      <c r="J12" s="23">
        <f>H12+I12</f>
        <v>0</v>
      </c>
    </row>
    <row r="13" spans="1:10" ht="15.75" customHeight="1">
      <c r="A13" s="12"/>
      <c r="B13" s="187" t="s">
        <v>58</v>
      </c>
      <c r="C13" s="187"/>
      <c r="D13" s="187"/>
      <c r="E13" s="187"/>
      <c r="F13" s="187"/>
      <c r="G13" s="8"/>
      <c r="H13" s="40"/>
      <c r="I13" s="52">
        <v>0</v>
      </c>
      <c r="J13" s="23">
        <f>H13+I13</f>
        <v>0</v>
      </c>
    </row>
    <row r="14" spans="1:10" ht="15.75" customHeight="1">
      <c r="A14" s="12"/>
      <c r="B14" s="188" t="s">
        <v>59</v>
      </c>
      <c r="C14" s="188"/>
      <c r="D14" s="188"/>
      <c r="E14" s="188"/>
      <c r="F14" s="188"/>
      <c r="G14" s="8"/>
      <c r="H14" s="68">
        <f>SUM(H10:H12)</f>
        <v>996664.86</v>
      </c>
      <c r="I14" s="53">
        <f>SUM(I12:I13)</f>
        <v>0</v>
      </c>
      <c r="J14" s="68">
        <f>SUM(J10:J13)</f>
        <v>996664.86</v>
      </c>
    </row>
    <row r="15" spans="1:10" ht="15.75" customHeight="1">
      <c r="A15" s="12">
        <v>2</v>
      </c>
      <c r="B15" s="170" t="s">
        <v>33</v>
      </c>
      <c r="C15" s="170"/>
      <c r="D15" s="170"/>
      <c r="E15" s="170"/>
      <c r="F15" s="170"/>
      <c r="G15" s="8"/>
      <c r="H15" s="40"/>
      <c r="I15" s="30"/>
      <c r="J15" s="24"/>
    </row>
    <row r="16" spans="1:10" ht="15.75" customHeight="1">
      <c r="A16" s="12" t="s">
        <v>45</v>
      </c>
      <c r="B16" s="9" t="s">
        <v>34</v>
      </c>
      <c r="C16" s="9"/>
      <c r="D16" s="9"/>
      <c r="E16" s="9"/>
      <c r="F16" s="5"/>
      <c r="G16" s="48"/>
      <c r="H16" s="48"/>
      <c r="I16" s="46"/>
      <c r="J16" s="49"/>
    </row>
    <row r="17" spans="1:10" ht="28.5" customHeight="1">
      <c r="A17" s="15"/>
      <c r="B17" s="176" t="s">
        <v>104</v>
      </c>
      <c r="C17" s="176"/>
      <c r="D17" s="176"/>
      <c r="E17" s="54" t="s">
        <v>29</v>
      </c>
      <c r="F17" s="35" t="s">
        <v>23</v>
      </c>
      <c r="G17" s="36">
        <v>1.22</v>
      </c>
      <c r="H17" s="41">
        <f>ROUND(G17*$E$3*12,2)</f>
        <v>83897.45</v>
      </c>
      <c r="I17" s="55">
        <f>$I$12*0.08</f>
        <v>0</v>
      </c>
      <c r="J17" s="53">
        <f>SUM(H17:I17)</f>
        <v>83897.45</v>
      </c>
    </row>
    <row r="18" spans="1:10" ht="15.75" customHeight="1">
      <c r="A18" s="12"/>
      <c r="B18" s="177" t="s">
        <v>17</v>
      </c>
      <c r="C18" s="177"/>
      <c r="D18" s="177"/>
      <c r="E18" s="54" t="s">
        <v>29</v>
      </c>
      <c r="F18" s="35" t="s">
        <v>18</v>
      </c>
      <c r="G18" s="36">
        <v>0.28</v>
      </c>
      <c r="H18" s="41">
        <f>ROUND(G18*$E$3*12,2)</f>
        <v>19255.15</v>
      </c>
      <c r="I18" s="55">
        <f>$I$12*0.02</f>
        <v>0</v>
      </c>
      <c r="J18" s="53">
        <f>SUM(H18:I18)</f>
        <v>19255.15</v>
      </c>
    </row>
    <row r="19" spans="1:10" ht="15.75" customHeight="1">
      <c r="A19" s="12"/>
      <c r="B19" s="174" t="s">
        <v>22</v>
      </c>
      <c r="C19" s="174"/>
      <c r="D19" s="174"/>
      <c r="E19" s="56" t="s">
        <v>61</v>
      </c>
      <c r="F19" s="38" t="s">
        <v>19</v>
      </c>
      <c r="G19" s="36">
        <v>0.99</v>
      </c>
      <c r="H19" s="41">
        <f>J19-I19</f>
        <v>142090.08</v>
      </c>
      <c r="I19" s="55">
        <f>$I$12*0.07</f>
        <v>0</v>
      </c>
      <c r="J19" s="57">
        <v>142090.08</v>
      </c>
    </row>
    <row r="20" spans="1:10" ht="15.75" customHeight="1">
      <c r="A20" s="15"/>
      <c r="B20" s="176" t="s">
        <v>28</v>
      </c>
      <c r="C20" s="176"/>
      <c r="D20" s="176"/>
      <c r="E20" s="58" t="s">
        <v>8</v>
      </c>
      <c r="F20" s="39" t="s">
        <v>9</v>
      </c>
      <c r="G20" s="36">
        <v>0.51</v>
      </c>
      <c r="H20" s="41">
        <f>ROUND(G20*$E$3*12,2)</f>
        <v>35071.88</v>
      </c>
      <c r="I20" s="55">
        <f>$I$12*0.04</f>
        <v>0</v>
      </c>
      <c r="J20" s="53">
        <f>SUM(H20:I20)</f>
        <v>35071.88</v>
      </c>
    </row>
    <row r="21" spans="1:10" ht="51">
      <c r="A21" s="12"/>
      <c r="B21" s="174" t="s">
        <v>26</v>
      </c>
      <c r="C21" s="174"/>
      <c r="D21" s="174"/>
      <c r="E21" s="56" t="s">
        <v>62</v>
      </c>
      <c r="F21" s="38" t="s">
        <v>24</v>
      </c>
      <c r="G21" s="36">
        <v>0.12</v>
      </c>
      <c r="H21" s="41">
        <f>J21-I21</f>
        <v>5813.64</v>
      </c>
      <c r="I21" s="55">
        <f>$I$12*0.01</f>
        <v>0</v>
      </c>
      <c r="J21" s="57">
        <v>5813.64</v>
      </c>
    </row>
    <row r="22" spans="1:10" ht="28.5" customHeight="1">
      <c r="A22" s="15"/>
      <c r="B22" s="174" t="s">
        <v>10</v>
      </c>
      <c r="C22" s="174"/>
      <c r="D22" s="174"/>
      <c r="E22" s="56" t="s">
        <v>8</v>
      </c>
      <c r="F22" s="38" t="s">
        <v>11</v>
      </c>
      <c r="G22" s="36">
        <v>2.22</v>
      </c>
      <c r="H22" s="41">
        <f>J22-I22</f>
        <v>152665.848</v>
      </c>
      <c r="I22" s="55">
        <f>$I$12*0.15</f>
        <v>0</v>
      </c>
      <c r="J22" s="57">
        <f>G22*E3*12</f>
        <v>152665.848</v>
      </c>
    </row>
    <row r="23" spans="1:10" ht="15.75" customHeight="1">
      <c r="A23" s="15"/>
      <c r="B23" s="174" t="s">
        <v>25</v>
      </c>
      <c r="C23" s="175"/>
      <c r="D23" s="175"/>
      <c r="E23" s="59" t="s">
        <v>12</v>
      </c>
      <c r="F23" s="32" t="s">
        <v>13</v>
      </c>
      <c r="G23" s="36">
        <v>0.05</v>
      </c>
      <c r="H23" s="41">
        <f>J23-I23</f>
        <v>0</v>
      </c>
      <c r="I23" s="55">
        <f>$I$12*0.003</f>
        <v>0</v>
      </c>
      <c r="J23" s="57">
        <v>0</v>
      </c>
    </row>
    <row r="24" spans="1:10" ht="24" customHeight="1">
      <c r="A24" s="12"/>
      <c r="B24" s="174" t="s">
        <v>36</v>
      </c>
      <c r="C24" s="174"/>
      <c r="D24" s="174"/>
      <c r="E24" s="54" t="s">
        <v>30</v>
      </c>
      <c r="F24" s="60" t="s">
        <v>63</v>
      </c>
      <c r="G24" s="36">
        <v>2.15</v>
      </c>
      <c r="H24" s="41">
        <f aca="true" t="shared" si="0" ref="H24:H29">ROUND(G24*$E$3*12,2)</f>
        <v>147852.06</v>
      </c>
      <c r="I24" s="55">
        <f>$I$12*0.19</f>
        <v>0</v>
      </c>
      <c r="J24" s="53">
        <f aca="true" t="shared" si="1" ref="J24:J29">SUM(H24:I24)</f>
        <v>147852.06</v>
      </c>
    </row>
    <row r="25" spans="1:10" ht="25.5">
      <c r="A25" s="12"/>
      <c r="B25" s="177" t="s">
        <v>14</v>
      </c>
      <c r="C25" s="177"/>
      <c r="D25" s="177"/>
      <c r="E25" s="54" t="s">
        <v>30</v>
      </c>
      <c r="F25" s="60" t="s">
        <v>63</v>
      </c>
      <c r="G25" s="36">
        <v>0.53</v>
      </c>
      <c r="H25" s="61">
        <f t="shared" si="0"/>
        <v>36447.25</v>
      </c>
      <c r="I25" s="55">
        <v>0</v>
      </c>
      <c r="J25" s="53">
        <f t="shared" si="1"/>
        <v>36447.25</v>
      </c>
    </row>
    <row r="26" spans="1:10" ht="29.25" customHeight="1">
      <c r="A26" s="12"/>
      <c r="B26" s="190" t="s">
        <v>31</v>
      </c>
      <c r="C26" s="166"/>
      <c r="D26" s="167"/>
      <c r="E26" s="54" t="s">
        <v>30</v>
      </c>
      <c r="F26" s="60" t="s">
        <v>63</v>
      </c>
      <c r="G26" s="42">
        <f>3.52-G27-G28</f>
        <v>3.23</v>
      </c>
      <c r="H26" s="61">
        <f t="shared" si="0"/>
        <v>222121.93</v>
      </c>
      <c r="I26" s="62">
        <f>$I$12*0.18</f>
        <v>0</v>
      </c>
      <c r="J26" s="53">
        <f t="shared" si="1"/>
        <v>222121.93</v>
      </c>
    </row>
    <row r="27" spans="1:10" ht="25.5" customHeight="1">
      <c r="A27" s="15"/>
      <c r="B27" s="174" t="s">
        <v>64</v>
      </c>
      <c r="C27" s="174"/>
      <c r="D27" s="174"/>
      <c r="E27" s="54" t="s">
        <v>30</v>
      </c>
      <c r="F27" s="60" t="s">
        <v>63</v>
      </c>
      <c r="G27" s="42">
        <v>0.29</v>
      </c>
      <c r="H27" s="61">
        <f t="shared" si="0"/>
        <v>19942.84</v>
      </c>
      <c r="I27" s="62">
        <f>$I$12*0.02</f>
        <v>0</v>
      </c>
      <c r="J27" s="53">
        <f t="shared" si="1"/>
        <v>19942.84</v>
      </c>
    </row>
    <row r="28" spans="1:10" ht="15.75">
      <c r="A28" s="12"/>
      <c r="B28" s="174" t="s">
        <v>65</v>
      </c>
      <c r="C28" s="174"/>
      <c r="D28" s="174"/>
      <c r="E28" s="56" t="s">
        <v>8</v>
      </c>
      <c r="F28" s="60" t="s">
        <v>63</v>
      </c>
      <c r="G28" s="42">
        <v>0</v>
      </c>
      <c r="H28" s="61">
        <f t="shared" si="0"/>
        <v>0</v>
      </c>
      <c r="I28" s="62">
        <f>$I$12*0.02</f>
        <v>0</v>
      </c>
      <c r="J28" s="53">
        <f t="shared" si="1"/>
        <v>0</v>
      </c>
    </row>
    <row r="29" spans="1:13" ht="25.5">
      <c r="A29" s="12"/>
      <c r="B29" s="175" t="s">
        <v>20</v>
      </c>
      <c r="C29" s="175"/>
      <c r="D29" s="175"/>
      <c r="E29" s="54" t="s">
        <v>30</v>
      </c>
      <c r="F29" s="60" t="s">
        <v>63</v>
      </c>
      <c r="G29" s="32">
        <v>1.45</v>
      </c>
      <c r="H29" s="41">
        <f t="shared" si="0"/>
        <v>99714.18</v>
      </c>
      <c r="I29" s="55">
        <f>$I$12*0.1</f>
        <v>0</v>
      </c>
      <c r="J29" s="53">
        <f t="shared" si="1"/>
        <v>99714.18</v>
      </c>
      <c r="M29" t="s">
        <v>39</v>
      </c>
    </row>
    <row r="30" spans="1:10" ht="15.75">
      <c r="A30" s="12"/>
      <c r="B30" s="178" t="s">
        <v>66</v>
      </c>
      <c r="C30" s="166"/>
      <c r="D30" s="167"/>
      <c r="E30" s="56" t="s">
        <v>8</v>
      </c>
      <c r="F30" s="60"/>
      <c r="G30" s="32"/>
      <c r="H30" s="61"/>
      <c r="I30" s="52"/>
      <c r="J30" s="63"/>
    </row>
    <row r="31" spans="1:10" ht="24.75" customHeight="1">
      <c r="A31" s="12"/>
      <c r="B31" s="178" t="s">
        <v>67</v>
      </c>
      <c r="C31" s="166"/>
      <c r="D31" s="167"/>
      <c r="E31" s="54" t="s">
        <v>30</v>
      </c>
      <c r="F31" s="60"/>
      <c r="G31" s="32"/>
      <c r="H31" s="61"/>
      <c r="I31" s="52"/>
      <c r="J31" s="63"/>
    </row>
    <row r="32" spans="1:10" ht="15.75" customHeight="1">
      <c r="A32" s="12"/>
      <c r="B32" s="168"/>
      <c r="C32" s="169"/>
      <c r="D32" s="189"/>
      <c r="E32" s="56"/>
      <c r="F32" s="60"/>
      <c r="G32" s="32"/>
      <c r="H32" s="61"/>
      <c r="I32" s="52"/>
      <c r="J32" s="63"/>
    </row>
    <row r="33" spans="1:10" ht="15.75">
      <c r="A33" s="12"/>
      <c r="B33" s="168"/>
      <c r="C33" s="169"/>
      <c r="D33" s="189"/>
      <c r="E33" s="56"/>
      <c r="F33" s="60"/>
      <c r="G33" s="32"/>
      <c r="H33" s="61"/>
      <c r="I33" s="52"/>
      <c r="J33" s="63"/>
    </row>
    <row r="34" spans="1:10" ht="15.75">
      <c r="A34" s="12"/>
      <c r="B34" s="196" t="s">
        <v>27</v>
      </c>
      <c r="C34" s="196"/>
      <c r="D34" s="196"/>
      <c r="E34" s="7"/>
      <c r="F34" s="60"/>
      <c r="G34" s="10">
        <f>SUM(G17:G29)</f>
        <v>13.039999999999997</v>
      </c>
      <c r="H34" s="21">
        <f>SUM(H17:H33)</f>
        <v>964872.308</v>
      </c>
      <c r="I34" s="64">
        <f>SUM(I17:I33)</f>
        <v>0</v>
      </c>
      <c r="J34" s="21">
        <f>SUM(J17:J33)</f>
        <v>964872.308</v>
      </c>
    </row>
    <row r="35" spans="1:10" ht="15.75">
      <c r="A35" s="12"/>
      <c r="B35" s="88"/>
      <c r="C35" s="89"/>
      <c r="D35" s="89"/>
      <c r="E35" s="90"/>
      <c r="F35" s="60"/>
      <c r="G35" s="10"/>
      <c r="H35" s="21"/>
      <c r="I35" s="64"/>
      <c r="J35" s="21"/>
    </row>
    <row r="36" spans="1:10" ht="15.75">
      <c r="A36" s="12"/>
      <c r="B36" s="88"/>
      <c r="C36" s="89"/>
      <c r="D36" s="89"/>
      <c r="E36" s="90"/>
      <c r="F36" s="60"/>
      <c r="G36" s="10"/>
      <c r="H36" s="21"/>
      <c r="I36" s="64"/>
      <c r="J36" s="21"/>
    </row>
    <row r="37" spans="1:10" ht="15.75">
      <c r="A37" s="12"/>
      <c r="B37" s="88"/>
      <c r="C37" s="89"/>
      <c r="D37" s="89"/>
      <c r="E37" s="90"/>
      <c r="F37" s="60"/>
      <c r="G37" s="10"/>
      <c r="H37" s="21"/>
      <c r="I37" s="64"/>
      <c r="J37" s="21"/>
    </row>
    <row r="38" spans="1:10" ht="15.75" customHeight="1">
      <c r="A38" s="12" t="s">
        <v>46</v>
      </c>
      <c r="B38" s="197" t="s">
        <v>68</v>
      </c>
      <c r="C38" s="198"/>
      <c r="D38" s="198"/>
      <c r="E38" s="199"/>
      <c r="F38" s="60" t="s">
        <v>63</v>
      </c>
      <c r="G38" s="13">
        <f>H38/E3/12</f>
        <v>0.9384106653637426</v>
      </c>
      <c r="H38" s="18">
        <v>64533</v>
      </c>
      <c r="I38" s="65">
        <v>0</v>
      </c>
      <c r="J38" s="53">
        <f>SUM(H38:I38)</f>
        <v>64533</v>
      </c>
    </row>
    <row r="39" spans="1:10" ht="15.75" customHeight="1">
      <c r="A39" s="14"/>
      <c r="B39" s="192" t="s">
        <v>35</v>
      </c>
      <c r="C39" s="192"/>
      <c r="D39" s="192"/>
      <c r="E39" s="192"/>
      <c r="F39" s="192"/>
      <c r="G39" s="10">
        <f>SUM(G34:G38)</f>
        <v>13.97841066536374</v>
      </c>
      <c r="H39" s="43">
        <f>SUM(H34:H38)</f>
        <v>1029405.308</v>
      </c>
      <c r="I39" s="64">
        <f>SUM(I34:I38)</f>
        <v>0</v>
      </c>
      <c r="J39" s="64">
        <f>SUM(J34:J38)</f>
        <v>1029405.308</v>
      </c>
    </row>
    <row r="40" spans="1:10" ht="15.75" customHeight="1">
      <c r="A40" s="12" t="s">
        <v>47</v>
      </c>
      <c r="B40" s="191" t="s">
        <v>69</v>
      </c>
      <c r="C40" s="191"/>
      <c r="D40" s="191"/>
      <c r="E40" s="191"/>
      <c r="F40" s="191"/>
      <c r="G40" s="66"/>
      <c r="H40" s="67">
        <v>0</v>
      </c>
      <c r="I40" s="57">
        <v>0</v>
      </c>
      <c r="J40" s="68">
        <f>SUM(H40:I40)</f>
        <v>0</v>
      </c>
    </row>
    <row r="41" spans="1:10" ht="15.75" customHeight="1">
      <c r="A41" s="14"/>
      <c r="B41" s="192" t="s">
        <v>70</v>
      </c>
      <c r="C41" s="192"/>
      <c r="D41" s="192"/>
      <c r="E41" s="192"/>
      <c r="F41" s="192"/>
      <c r="G41" s="10">
        <f>SUM(G39:G40)</f>
        <v>13.97841066536374</v>
      </c>
      <c r="H41" s="43">
        <f>SUM(H39:H40)</f>
        <v>1029405.308</v>
      </c>
      <c r="I41" s="64">
        <f>SUM(I39:I40)</f>
        <v>0</v>
      </c>
      <c r="J41" s="64">
        <f>SUM(J39:J40)</f>
        <v>1029405.308</v>
      </c>
    </row>
    <row r="42" spans="1:10" ht="15.75">
      <c r="A42" s="12">
        <v>3</v>
      </c>
      <c r="B42" s="190" t="s">
        <v>107</v>
      </c>
      <c r="C42" s="193"/>
      <c r="D42" s="193"/>
      <c r="E42" s="193"/>
      <c r="F42" s="193"/>
      <c r="G42" s="194"/>
      <c r="H42" s="45">
        <f>H14-H41</f>
        <v>-32740.447999999975</v>
      </c>
      <c r="I42" s="41">
        <f>I14-I41</f>
        <v>0</v>
      </c>
      <c r="J42" s="68">
        <f>J14-J41</f>
        <v>-32740.447999999975</v>
      </c>
    </row>
    <row r="43" spans="2:6" ht="15.75">
      <c r="B43" s="20"/>
      <c r="F43" s="20"/>
    </row>
    <row r="44" spans="2:6" ht="15.75">
      <c r="B44" s="26" t="s">
        <v>71</v>
      </c>
      <c r="C44" s="26"/>
      <c r="D44" s="26"/>
      <c r="E44" s="20"/>
      <c r="F44" s="20"/>
    </row>
    <row r="45" spans="2:4" ht="15.75">
      <c r="B45" s="26"/>
      <c r="C45" s="26"/>
      <c r="D45" s="26"/>
    </row>
    <row r="46" spans="2:5" ht="15.75">
      <c r="B46" s="69" t="s">
        <v>103</v>
      </c>
      <c r="C46" s="69"/>
      <c r="D46" s="27"/>
      <c r="E46" s="71" t="s">
        <v>114</v>
      </c>
    </row>
    <row r="47" spans="2:4" ht="15.75">
      <c r="B47" s="195" t="s">
        <v>48</v>
      </c>
      <c r="C47" s="195"/>
      <c r="D47" s="195"/>
    </row>
  </sheetData>
  <sheetProtection/>
  <mergeCells count="36">
    <mergeCell ref="B33:D33"/>
    <mergeCell ref="B34:D34"/>
    <mergeCell ref="B38:E38"/>
    <mergeCell ref="B39:F39"/>
    <mergeCell ref="B40:F40"/>
    <mergeCell ref="B41:F41"/>
    <mergeCell ref="B42:G42"/>
    <mergeCell ref="B47:D47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7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4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50390625" style="0" customWidth="1"/>
    <col min="8" max="8" width="12.625" style="0" customWidth="1"/>
    <col min="9" max="9" width="9.875" style="0" bestFit="1" customWidth="1"/>
  </cols>
  <sheetData>
    <row r="1" spans="1:8" ht="69" customHeight="1">
      <c r="A1" s="179" t="s">
        <v>113</v>
      </c>
      <c r="B1" s="179"/>
      <c r="C1" s="179"/>
      <c r="D1" s="179"/>
      <c r="E1" s="179"/>
      <c r="F1" s="179"/>
      <c r="G1" s="179"/>
      <c r="H1" s="179"/>
    </row>
    <row r="2" spans="2:6" ht="18.75">
      <c r="B2" s="1" t="s">
        <v>37</v>
      </c>
      <c r="C2" s="2"/>
      <c r="D2" s="2" t="s">
        <v>0</v>
      </c>
      <c r="E2" s="4">
        <v>5730.7</v>
      </c>
      <c r="F2" s="2"/>
    </row>
    <row r="3" spans="2:6" ht="15.75">
      <c r="B3" s="3" t="s">
        <v>1</v>
      </c>
      <c r="C3" s="1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66.75" customHeight="1">
      <c r="A6" s="77" t="s">
        <v>32</v>
      </c>
      <c r="B6" s="200" t="s">
        <v>49</v>
      </c>
      <c r="C6" s="201"/>
      <c r="D6" s="202"/>
      <c r="E6" s="28" t="s">
        <v>6</v>
      </c>
      <c r="F6" s="28" t="s">
        <v>7</v>
      </c>
      <c r="G6" s="91" t="s">
        <v>84</v>
      </c>
      <c r="H6" s="92" t="s">
        <v>40</v>
      </c>
    </row>
    <row r="7" spans="1:8" ht="15.75" customHeight="1">
      <c r="A7" s="29">
        <v>1</v>
      </c>
      <c r="B7" s="203" t="s">
        <v>41</v>
      </c>
      <c r="C7" s="203"/>
      <c r="D7" s="203"/>
      <c r="E7" s="203"/>
      <c r="F7" s="203"/>
      <c r="G7" s="30"/>
      <c r="H7" s="31"/>
    </row>
    <row r="8" spans="1:8" ht="15.75" customHeight="1">
      <c r="A8" s="29"/>
      <c r="B8" s="188" t="s">
        <v>85</v>
      </c>
      <c r="C8" s="188"/>
      <c r="D8" s="188"/>
      <c r="E8" s="188"/>
      <c r="F8" s="188"/>
      <c r="G8" s="13">
        <f>G34</f>
        <v>14.920000000000002</v>
      </c>
      <c r="H8" s="31">
        <f>ROUND($E$2*G8*12,0)</f>
        <v>1026025</v>
      </c>
    </row>
    <row r="9" spans="1:8" ht="15.75" customHeight="1">
      <c r="A9" s="29"/>
      <c r="B9" s="206" t="s">
        <v>42</v>
      </c>
      <c r="C9" s="206"/>
      <c r="D9" s="206"/>
      <c r="E9" s="206"/>
      <c r="F9" s="206"/>
      <c r="G9" s="12">
        <v>0.78</v>
      </c>
      <c r="H9" s="31">
        <f>ROUND($E$2*G9*12,0)</f>
        <v>53639</v>
      </c>
    </row>
    <row r="10" spans="1:8" ht="18.75" customHeight="1">
      <c r="A10" s="29">
        <v>2</v>
      </c>
      <c r="B10" s="170" t="s">
        <v>33</v>
      </c>
      <c r="C10" s="170"/>
      <c r="D10" s="170"/>
      <c r="E10" s="170"/>
      <c r="F10" s="170"/>
      <c r="G10" s="32"/>
      <c r="H10" s="31"/>
    </row>
    <row r="11" spans="1:8" ht="15.75" customHeight="1">
      <c r="A11" s="29" t="s">
        <v>45</v>
      </c>
      <c r="B11" s="9" t="s">
        <v>34</v>
      </c>
      <c r="C11" s="9"/>
      <c r="D11" s="9"/>
      <c r="E11" s="9"/>
      <c r="F11" s="5"/>
      <c r="G11" s="33"/>
      <c r="H11" s="31"/>
    </row>
    <row r="12" spans="1:8" ht="15.75" customHeight="1">
      <c r="A12" s="34"/>
      <c r="B12" s="207" t="s">
        <v>60</v>
      </c>
      <c r="C12" s="207"/>
      <c r="D12" s="207"/>
      <c r="E12" s="54" t="s">
        <v>29</v>
      </c>
      <c r="F12" s="35" t="s">
        <v>23</v>
      </c>
      <c r="G12" s="36">
        <v>1.26</v>
      </c>
      <c r="H12" s="37">
        <f aca="true" t="shared" si="0" ref="H12:H34">ROUND($E$2*G12*12,0)</f>
        <v>86648</v>
      </c>
    </row>
    <row r="13" spans="1:8" ht="15.75" customHeight="1">
      <c r="A13" s="34"/>
      <c r="B13" s="207" t="s">
        <v>17</v>
      </c>
      <c r="C13" s="207"/>
      <c r="D13" s="207"/>
      <c r="E13" s="54" t="s">
        <v>29</v>
      </c>
      <c r="F13" s="35" t="s">
        <v>18</v>
      </c>
      <c r="G13" s="36">
        <v>0.29</v>
      </c>
      <c r="H13" s="37">
        <f t="shared" si="0"/>
        <v>19943</v>
      </c>
    </row>
    <row r="14" spans="1:8" ht="15.75" customHeight="1">
      <c r="A14" s="34"/>
      <c r="B14" s="204" t="s">
        <v>22</v>
      </c>
      <c r="C14" s="204"/>
      <c r="D14" s="204"/>
      <c r="E14" s="56" t="s">
        <v>61</v>
      </c>
      <c r="F14" s="38" t="s">
        <v>19</v>
      </c>
      <c r="G14" s="36">
        <v>1.02</v>
      </c>
      <c r="H14" s="37">
        <f t="shared" si="0"/>
        <v>70144</v>
      </c>
    </row>
    <row r="15" spans="1:8" ht="15.75" customHeight="1">
      <c r="A15" s="34"/>
      <c r="B15" s="205" t="s">
        <v>28</v>
      </c>
      <c r="C15" s="205"/>
      <c r="D15" s="205"/>
      <c r="E15" s="58" t="s">
        <v>8</v>
      </c>
      <c r="F15" s="39" t="s">
        <v>9</v>
      </c>
      <c r="G15" s="36">
        <v>0.53</v>
      </c>
      <c r="H15" s="37">
        <f t="shared" si="0"/>
        <v>36447</v>
      </c>
    </row>
    <row r="16" spans="1:8" ht="57.75" customHeight="1">
      <c r="A16" s="34"/>
      <c r="B16" s="204" t="s">
        <v>26</v>
      </c>
      <c r="C16" s="204"/>
      <c r="D16" s="204"/>
      <c r="E16" s="56" t="s">
        <v>62</v>
      </c>
      <c r="F16" s="38" t="s">
        <v>24</v>
      </c>
      <c r="G16" s="36">
        <v>0.12</v>
      </c>
      <c r="H16" s="37">
        <f t="shared" si="0"/>
        <v>8252</v>
      </c>
    </row>
    <row r="17" spans="1:8" ht="30" customHeight="1">
      <c r="A17" s="34"/>
      <c r="B17" s="204" t="s">
        <v>10</v>
      </c>
      <c r="C17" s="204"/>
      <c r="D17" s="204"/>
      <c r="E17" s="56" t="s">
        <v>8</v>
      </c>
      <c r="F17" s="38" t="s">
        <v>11</v>
      </c>
      <c r="G17" s="36">
        <v>2.29</v>
      </c>
      <c r="H17" s="37">
        <f t="shared" si="0"/>
        <v>157480</v>
      </c>
    </row>
    <row r="18" spans="1:8" ht="15.75" customHeight="1">
      <c r="A18" s="34"/>
      <c r="B18" s="204" t="s">
        <v>25</v>
      </c>
      <c r="C18" s="208"/>
      <c r="D18" s="208"/>
      <c r="E18" s="59" t="s">
        <v>12</v>
      </c>
      <c r="F18" s="32" t="s">
        <v>43</v>
      </c>
      <c r="G18" s="36">
        <v>0.05</v>
      </c>
      <c r="H18" s="37">
        <f t="shared" si="0"/>
        <v>3438</v>
      </c>
    </row>
    <row r="19" spans="1:8" ht="25.5">
      <c r="A19" s="34"/>
      <c r="B19" s="204" t="s">
        <v>36</v>
      </c>
      <c r="C19" s="204"/>
      <c r="D19" s="204"/>
      <c r="E19" s="54" t="s">
        <v>30</v>
      </c>
      <c r="F19" s="38" t="s">
        <v>63</v>
      </c>
      <c r="G19" s="36">
        <v>2.21</v>
      </c>
      <c r="H19" s="37">
        <f t="shared" si="0"/>
        <v>151978</v>
      </c>
    </row>
    <row r="20" spans="1:8" ht="51">
      <c r="A20" s="34"/>
      <c r="B20" s="207" t="s">
        <v>14</v>
      </c>
      <c r="C20" s="207"/>
      <c r="D20" s="207"/>
      <c r="E20" s="54" t="s">
        <v>44</v>
      </c>
      <c r="F20" s="38" t="s">
        <v>63</v>
      </c>
      <c r="G20" s="36">
        <v>0.55</v>
      </c>
      <c r="H20" s="37">
        <f t="shared" si="0"/>
        <v>37823</v>
      </c>
    </row>
    <row r="21" spans="1:8" ht="27.75" customHeight="1">
      <c r="A21" s="34"/>
      <c r="B21" s="204" t="s">
        <v>31</v>
      </c>
      <c r="C21" s="208"/>
      <c r="D21" s="208"/>
      <c r="E21" s="54" t="s">
        <v>30</v>
      </c>
      <c r="F21" s="38" t="s">
        <v>63</v>
      </c>
      <c r="G21" s="36">
        <f>3.62-G22-G23</f>
        <v>3.3200000000000003</v>
      </c>
      <c r="H21" s="37">
        <f t="shared" si="0"/>
        <v>228311</v>
      </c>
    </row>
    <row r="22" spans="1:8" ht="18" customHeight="1">
      <c r="A22" s="34"/>
      <c r="B22" s="204" t="s">
        <v>86</v>
      </c>
      <c r="C22" s="204"/>
      <c r="D22" s="204"/>
      <c r="E22" s="56" t="s">
        <v>8</v>
      </c>
      <c r="F22" s="38" t="s">
        <v>63</v>
      </c>
      <c r="G22" s="36">
        <v>0.3</v>
      </c>
      <c r="H22" s="37">
        <f t="shared" si="0"/>
        <v>20631</v>
      </c>
    </row>
    <row r="23" spans="1:8" ht="15.75">
      <c r="A23" s="34"/>
      <c r="B23" s="204" t="s">
        <v>65</v>
      </c>
      <c r="C23" s="204"/>
      <c r="D23" s="204"/>
      <c r="E23" s="56" t="s">
        <v>8</v>
      </c>
      <c r="F23" s="38" t="s">
        <v>63</v>
      </c>
      <c r="G23" s="36">
        <v>0</v>
      </c>
      <c r="H23" s="37">
        <f t="shared" si="0"/>
        <v>0</v>
      </c>
    </row>
    <row r="24" spans="1:8" ht="25.5">
      <c r="A24" s="34"/>
      <c r="B24" s="208" t="s">
        <v>20</v>
      </c>
      <c r="C24" s="208"/>
      <c r="D24" s="208"/>
      <c r="E24" s="54" t="s">
        <v>30</v>
      </c>
      <c r="F24" s="38" t="s">
        <v>63</v>
      </c>
      <c r="G24" s="36">
        <v>1.49</v>
      </c>
      <c r="H24" s="37">
        <f t="shared" si="0"/>
        <v>102465</v>
      </c>
    </row>
    <row r="25" spans="1:8" ht="15.75" customHeight="1">
      <c r="A25" s="12"/>
      <c r="B25" s="178" t="s">
        <v>66</v>
      </c>
      <c r="C25" s="166"/>
      <c r="D25" s="167"/>
      <c r="E25" s="56" t="s">
        <v>8</v>
      </c>
      <c r="F25" s="38"/>
      <c r="G25" s="36"/>
      <c r="H25" s="37"/>
    </row>
    <row r="26" spans="1:8" ht="27" customHeight="1">
      <c r="A26" s="12"/>
      <c r="B26" s="178" t="s">
        <v>67</v>
      </c>
      <c r="C26" s="166"/>
      <c r="D26" s="167"/>
      <c r="E26" s="54" t="s">
        <v>30</v>
      </c>
      <c r="F26" s="38"/>
      <c r="G26" s="36"/>
      <c r="H26" s="37"/>
    </row>
    <row r="27" spans="1:8" ht="15.75">
      <c r="A27" s="34"/>
      <c r="B27" s="168"/>
      <c r="C27" s="169"/>
      <c r="D27" s="189"/>
      <c r="E27" s="54"/>
      <c r="F27" s="38"/>
      <c r="G27" s="36"/>
      <c r="H27" s="37"/>
    </row>
    <row r="28" spans="1:8" ht="15.75">
      <c r="A28" s="34"/>
      <c r="B28" s="168"/>
      <c r="C28" s="169"/>
      <c r="D28" s="189"/>
      <c r="E28" s="54"/>
      <c r="F28" s="38"/>
      <c r="G28" s="36"/>
      <c r="H28" s="37"/>
    </row>
    <row r="29" spans="1:8" ht="15" customHeight="1">
      <c r="A29" s="34"/>
      <c r="B29" s="210" t="s">
        <v>27</v>
      </c>
      <c r="C29" s="211"/>
      <c r="D29" s="212"/>
      <c r="E29" s="7"/>
      <c r="F29" s="38"/>
      <c r="G29" s="10">
        <f>SUM(G12:G28)</f>
        <v>13.430000000000001</v>
      </c>
      <c r="H29" s="37">
        <f t="shared" si="0"/>
        <v>923560</v>
      </c>
    </row>
    <row r="30" spans="1:8" ht="15" customHeight="1">
      <c r="A30" s="34"/>
      <c r="B30" s="88"/>
      <c r="C30" s="89"/>
      <c r="D30" s="89"/>
      <c r="E30" s="7"/>
      <c r="F30" s="38"/>
      <c r="G30" s="10"/>
      <c r="H30" s="37"/>
    </row>
    <row r="31" spans="1:8" ht="15" customHeight="1">
      <c r="A31" s="34"/>
      <c r="B31" s="88"/>
      <c r="C31" s="89"/>
      <c r="D31" s="89"/>
      <c r="E31" s="7"/>
      <c r="F31" s="38"/>
      <c r="G31" s="10"/>
      <c r="H31" s="37"/>
    </row>
    <row r="32" spans="1:8" ht="15" customHeight="1">
      <c r="A32" s="34"/>
      <c r="B32" s="88"/>
      <c r="C32" s="89"/>
      <c r="D32" s="89"/>
      <c r="E32" s="7"/>
      <c r="F32" s="38"/>
      <c r="G32" s="10"/>
      <c r="H32" s="37"/>
    </row>
    <row r="33" spans="1:8" ht="15.75" customHeight="1">
      <c r="A33" s="29" t="s">
        <v>46</v>
      </c>
      <c r="B33" s="197" t="s">
        <v>109</v>
      </c>
      <c r="C33" s="198"/>
      <c r="D33" s="198"/>
      <c r="E33" s="96" t="s">
        <v>117</v>
      </c>
      <c r="F33" s="16" t="s">
        <v>87</v>
      </c>
      <c r="G33" s="13">
        <v>1.49</v>
      </c>
      <c r="H33" s="37">
        <f t="shared" si="0"/>
        <v>102465</v>
      </c>
    </row>
    <row r="34" spans="1:8" ht="15.75">
      <c r="A34" s="29"/>
      <c r="B34" s="214" t="s">
        <v>88</v>
      </c>
      <c r="C34" s="214"/>
      <c r="D34" s="214"/>
      <c r="E34" s="214"/>
      <c r="F34" s="214"/>
      <c r="G34" s="10">
        <f>SUM(G29:G33)</f>
        <v>14.920000000000002</v>
      </c>
      <c r="H34" s="78">
        <f t="shared" si="0"/>
        <v>1026025</v>
      </c>
    </row>
    <row r="35" spans="1:8" ht="16.5" thickBot="1">
      <c r="A35" s="79">
        <v>3</v>
      </c>
      <c r="B35" s="215" t="s">
        <v>110</v>
      </c>
      <c r="C35" s="216"/>
      <c r="D35" s="217"/>
      <c r="E35" s="97" t="s">
        <v>117</v>
      </c>
      <c r="F35" s="80" t="s">
        <v>87</v>
      </c>
      <c r="G35" s="81">
        <v>0.78</v>
      </c>
      <c r="H35" s="82">
        <f>ROUND($E$2*G35*12,0)</f>
        <v>53639</v>
      </c>
    </row>
    <row r="36" spans="1:5" ht="15.75">
      <c r="A36" s="93"/>
      <c r="B36" s="94"/>
      <c r="C36" s="94"/>
      <c r="D36" s="94"/>
      <c r="E36" s="94"/>
    </row>
    <row r="37" spans="1:5" ht="15.75">
      <c r="A37" s="93"/>
      <c r="B37" s="213" t="s">
        <v>111</v>
      </c>
      <c r="C37" s="213"/>
      <c r="D37" s="213"/>
      <c r="E37" s="213"/>
    </row>
    <row r="38" spans="1:8" ht="15.75" customHeight="1">
      <c r="A38" s="93"/>
      <c r="B38" s="209" t="s">
        <v>115</v>
      </c>
      <c r="C38" s="209"/>
      <c r="D38" s="209"/>
      <c r="E38" s="209"/>
      <c r="F38" s="209"/>
      <c r="G38" s="209"/>
      <c r="H38" s="209"/>
    </row>
    <row r="39" spans="1:8" ht="15.75" customHeight="1">
      <c r="A39" s="93"/>
      <c r="B39" s="209" t="s">
        <v>116</v>
      </c>
      <c r="C39" s="209"/>
      <c r="D39" s="209"/>
      <c r="E39" s="209"/>
      <c r="F39" s="209"/>
      <c r="G39" s="209"/>
      <c r="H39" s="209"/>
    </row>
    <row r="41" spans="2:7" ht="15.75">
      <c r="B41" s="20" t="s">
        <v>112</v>
      </c>
      <c r="C41" s="20"/>
      <c r="D41" s="20"/>
      <c r="E41" s="20"/>
      <c r="F41" s="20"/>
      <c r="G41" s="20"/>
    </row>
  </sheetData>
  <sheetProtection/>
  <mergeCells count="30">
    <mergeCell ref="B39:H39"/>
    <mergeCell ref="B33:D33"/>
    <mergeCell ref="B26:D26"/>
    <mergeCell ref="B27:D27"/>
    <mergeCell ref="B28:D28"/>
    <mergeCell ref="B29:D29"/>
    <mergeCell ref="B37:E37"/>
    <mergeCell ref="B34:F34"/>
    <mergeCell ref="B35:D35"/>
    <mergeCell ref="B38:H38"/>
    <mergeCell ref="B18:D18"/>
    <mergeCell ref="B19:D19"/>
    <mergeCell ref="B20:D20"/>
    <mergeCell ref="B21:D21"/>
    <mergeCell ref="B22:D22"/>
    <mergeCell ref="B23:D23"/>
    <mergeCell ref="B24:D24"/>
    <mergeCell ref="B25:D25"/>
    <mergeCell ref="B9:F9"/>
    <mergeCell ref="B10:F10"/>
    <mergeCell ref="B12:D12"/>
    <mergeCell ref="B13:D13"/>
    <mergeCell ref="B14:D14"/>
    <mergeCell ref="B15:D15"/>
    <mergeCell ref="B16:D16"/>
    <mergeCell ref="B17:D17"/>
    <mergeCell ref="A1:H1"/>
    <mergeCell ref="B6:D6"/>
    <mergeCell ref="B7:F7"/>
    <mergeCell ref="B8:F8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9"/>
  <sheetViews>
    <sheetView zoomScalePageLayoutView="0" workbookViewId="0" topLeftCell="A12">
      <selection activeCell="G16" sqref="G16:G2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625" style="0" customWidth="1"/>
    <col min="6" max="6" width="18.00390625" style="0" hidden="1" customWidth="1"/>
    <col min="7" max="7" width="12.00390625" style="0" customWidth="1"/>
    <col min="8" max="8" width="12.625" style="0" customWidth="1"/>
    <col min="9" max="9" width="9.875" style="0" bestFit="1" customWidth="1"/>
  </cols>
  <sheetData>
    <row r="1" spans="4:8" ht="87.75" customHeight="1">
      <c r="D1" s="219" t="s">
        <v>118</v>
      </c>
      <c r="E1" s="219"/>
      <c r="F1" s="219"/>
      <c r="G1" s="219"/>
      <c r="H1" s="219"/>
    </row>
    <row r="2" spans="4:8" ht="15.75">
      <c r="D2" s="98"/>
      <c r="E2" s="98"/>
      <c r="F2" s="98"/>
      <c r="G2" s="98"/>
      <c r="H2" s="98"/>
    </row>
    <row r="3" spans="4:8" ht="15.75">
      <c r="D3" s="98"/>
      <c r="E3" s="98"/>
      <c r="F3" s="98"/>
      <c r="G3" s="98"/>
      <c r="H3" s="98"/>
    </row>
    <row r="4" spans="1:8" ht="19.5">
      <c r="A4" s="179" t="s">
        <v>119</v>
      </c>
      <c r="B4" s="179"/>
      <c r="C4" s="179"/>
      <c r="D4" s="179"/>
      <c r="E4" s="179"/>
      <c r="F4" s="179"/>
      <c r="G4" s="179"/>
      <c r="H4" s="179"/>
    </row>
    <row r="5" spans="1:6" s="117" customFormat="1" ht="15.75">
      <c r="A5" s="116"/>
      <c r="B5" s="116"/>
      <c r="C5" s="116"/>
      <c r="D5" s="116"/>
      <c r="E5" s="116"/>
      <c r="F5" s="116"/>
    </row>
    <row r="6" spans="1:6" ht="20.25" customHeight="1">
      <c r="A6" s="112"/>
      <c r="B6" s="220" t="s">
        <v>134</v>
      </c>
      <c r="C6" s="220"/>
      <c r="D6" s="220"/>
      <c r="E6" s="220"/>
      <c r="F6" s="95"/>
    </row>
    <row r="7" spans="1:6" s="117" customFormat="1" ht="15.75">
      <c r="A7" s="115"/>
      <c r="B7" s="113"/>
      <c r="C7" s="113"/>
      <c r="D7" s="113"/>
      <c r="E7" s="113"/>
      <c r="F7" s="116"/>
    </row>
    <row r="8" spans="2:6" ht="18.75" customHeight="1">
      <c r="B8" s="1" t="s">
        <v>37</v>
      </c>
      <c r="C8" s="2"/>
      <c r="D8" s="2" t="s">
        <v>0</v>
      </c>
      <c r="E8" s="4">
        <v>5690</v>
      </c>
      <c r="F8" s="2"/>
    </row>
    <row r="9" spans="2:6" ht="15.75" customHeight="1">
      <c r="B9" s="3" t="s">
        <v>1</v>
      </c>
      <c r="C9" s="17">
        <v>9</v>
      </c>
      <c r="D9" s="2" t="s">
        <v>2</v>
      </c>
      <c r="E9" s="4">
        <v>108</v>
      </c>
      <c r="F9" s="2"/>
    </row>
    <row r="10" spans="2:7" ht="15.75" customHeight="1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5.75" customHeight="1" thickBot="1">
      <c r="B11" s="3"/>
      <c r="C11" s="4"/>
      <c r="D11" s="2" t="s">
        <v>5</v>
      </c>
      <c r="E11" s="2" t="s">
        <v>15</v>
      </c>
      <c r="F11" s="2"/>
      <c r="G11" s="2"/>
    </row>
    <row r="12" spans="1:8" ht="112.5" customHeight="1">
      <c r="A12" s="77" t="s">
        <v>32</v>
      </c>
      <c r="B12" s="200" t="s">
        <v>49</v>
      </c>
      <c r="C12" s="201"/>
      <c r="D12" s="202"/>
      <c r="E12" s="28" t="s">
        <v>6</v>
      </c>
      <c r="F12" s="28" t="s">
        <v>7</v>
      </c>
      <c r="G12" s="109" t="s">
        <v>131</v>
      </c>
      <c r="H12" s="110" t="s">
        <v>132</v>
      </c>
    </row>
    <row r="13" spans="1:8" ht="28.5" customHeight="1">
      <c r="A13" s="99">
        <v>1</v>
      </c>
      <c r="B13" s="181">
        <v>2</v>
      </c>
      <c r="C13" s="182"/>
      <c r="D13" s="183"/>
      <c r="E13" s="100">
        <v>3</v>
      </c>
      <c r="F13" s="100"/>
      <c r="G13" s="101">
        <v>4</v>
      </c>
      <c r="H13" s="102" t="s">
        <v>130</v>
      </c>
    </row>
    <row r="14" spans="1:8" ht="15.75" customHeight="1">
      <c r="A14" s="103" t="s">
        <v>120</v>
      </c>
      <c r="B14" s="170" t="s">
        <v>33</v>
      </c>
      <c r="C14" s="170"/>
      <c r="D14" s="170"/>
      <c r="E14" s="170"/>
      <c r="F14" s="170"/>
      <c r="G14" s="32"/>
      <c r="H14" s="31"/>
    </row>
    <row r="15" spans="1:8" ht="15.75">
      <c r="A15" s="103" t="s">
        <v>121</v>
      </c>
      <c r="B15" s="9" t="s">
        <v>34</v>
      </c>
      <c r="C15" s="9"/>
      <c r="D15" s="9"/>
      <c r="E15" s="9"/>
      <c r="F15" s="5"/>
      <c r="G15" s="33"/>
      <c r="H15" s="31"/>
    </row>
    <row r="16" spans="1:8" ht="30" customHeight="1">
      <c r="A16" s="103"/>
      <c r="B16" s="207" t="s">
        <v>133</v>
      </c>
      <c r="C16" s="207"/>
      <c r="D16" s="207"/>
      <c r="E16" s="54" t="s">
        <v>29</v>
      </c>
      <c r="F16" s="35" t="s">
        <v>23</v>
      </c>
      <c r="G16" s="36">
        <v>1.29</v>
      </c>
      <c r="H16" s="37">
        <f aca="true" t="shared" si="0" ref="H16:H28">ROUND($E$8*G16*4,0)</f>
        <v>29360</v>
      </c>
    </row>
    <row r="17" spans="1:8" ht="15.75" customHeight="1">
      <c r="A17" s="103"/>
      <c r="B17" s="207" t="s">
        <v>17</v>
      </c>
      <c r="C17" s="207"/>
      <c r="D17" s="207"/>
      <c r="E17" s="54" t="s">
        <v>29</v>
      </c>
      <c r="F17" s="35" t="s">
        <v>18</v>
      </c>
      <c r="G17" s="36">
        <v>0.3</v>
      </c>
      <c r="H17" s="37">
        <f t="shared" si="0"/>
        <v>6828</v>
      </c>
    </row>
    <row r="18" spans="1:8" ht="15.75">
      <c r="A18" s="103"/>
      <c r="B18" s="204" t="s">
        <v>22</v>
      </c>
      <c r="C18" s="204"/>
      <c r="D18" s="204"/>
      <c r="E18" s="56" t="s">
        <v>61</v>
      </c>
      <c r="F18" s="38" t="s">
        <v>19</v>
      </c>
      <c r="G18" s="36">
        <v>1.05</v>
      </c>
      <c r="H18" s="37">
        <f t="shared" si="0"/>
        <v>23898</v>
      </c>
    </row>
    <row r="19" spans="1:8" ht="31.5">
      <c r="A19" s="103"/>
      <c r="B19" s="205" t="s">
        <v>28</v>
      </c>
      <c r="C19" s="205"/>
      <c r="D19" s="205"/>
      <c r="E19" s="58" t="s">
        <v>8</v>
      </c>
      <c r="F19" s="39" t="s">
        <v>9</v>
      </c>
      <c r="G19" s="36">
        <v>0.54</v>
      </c>
      <c r="H19" s="37">
        <f t="shared" si="0"/>
        <v>12290</v>
      </c>
    </row>
    <row r="20" spans="1:8" ht="63.75">
      <c r="A20" s="103"/>
      <c r="B20" s="204" t="s">
        <v>26</v>
      </c>
      <c r="C20" s="204"/>
      <c r="D20" s="204"/>
      <c r="E20" s="56" t="s">
        <v>62</v>
      </c>
      <c r="F20" s="38" t="s">
        <v>24</v>
      </c>
      <c r="G20" s="36">
        <v>0.13</v>
      </c>
      <c r="H20" s="37">
        <f t="shared" si="0"/>
        <v>2959</v>
      </c>
    </row>
    <row r="21" spans="1:8" ht="31.5">
      <c r="A21" s="103"/>
      <c r="B21" s="204" t="s">
        <v>10</v>
      </c>
      <c r="C21" s="204"/>
      <c r="D21" s="204"/>
      <c r="E21" s="56" t="s">
        <v>8</v>
      </c>
      <c r="F21" s="38" t="s">
        <v>11</v>
      </c>
      <c r="G21" s="36">
        <v>2.35</v>
      </c>
      <c r="H21" s="37">
        <f t="shared" si="0"/>
        <v>53486</v>
      </c>
    </row>
    <row r="22" spans="1:8" ht="15.75">
      <c r="A22" s="103"/>
      <c r="B22" s="204" t="s">
        <v>25</v>
      </c>
      <c r="C22" s="208"/>
      <c r="D22" s="208"/>
      <c r="E22" s="59" t="s">
        <v>12</v>
      </c>
      <c r="F22" s="32" t="s">
        <v>43</v>
      </c>
      <c r="G22" s="36">
        <v>0.05</v>
      </c>
      <c r="H22" s="37">
        <f t="shared" si="0"/>
        <v>1138</v>
      </c>
    </row>
    <row r="23" spans="1:8" ht="51">
      <c r="A23" s="103"/>
      <c r="B23" s="204" t="s">
        <v>36</v>
      </c>
      <c r="C23" s="204"/>
      <c r="D23" s="204"/>
      <c r="E23" s="54" t="s">
        <v>135</v>
      </c>
      <c r="F23" s="38" t="s">
        <v>63</v>
      </c>
      <c r="G23" s="36">
        <v>1.63</v>
      </c>
      <c r="H23" s="37">
        <f t="shared" si="0"/>
        <v>37099</v>
      </c>
    </row>
    <row r="24" spans="1:8" ht="51">
      <c r="A24" s="103"/>
      <c r="B24" s="207" t="s">
        <v>14</v>
      </c>
      <c r="C24" s="207"/>
      <c r="D24" s="207"/>
      <c r="E24" s="54" t="s">
        <v>44</v>
      </c>
      <c r="F24" s="38" t="s">
        <v>63</v>
      </c>
      <c r="G24" s="36">
        <v>0.56</v>
      </c>
      <c r="H24" s="37">
        <f t="shared" si="0"/>
        <v>12746</v>
      </c>
    </row>
    <row r="25" spans="1:8" ht="28.5" customHeight="1">
      <c r="A25" s="103"/>
      <c r="B25" s="204" t="s">
        <v>31</v>
      </c>
      <c r="C25" s="208"/>
      <c r="D25" s="208"/>
      <c r="E25" s="54" t="s">
        <v>30</v>
      </c>
      <c r="F25" s="38" t="s">
        <v>63</v>
      </c>
      <c r="G25" s="36">
        <f>4.38-G26-G27</f>
        <v>4.07</v>
      </c>
      <c r="H25" s="37">
        <f t="shared" si="0"/>
        <v>92633</v>
      </c>
    </row>
    <row r="26" spans="1:8" ht="15.75">
      <c r="A26" s="103"/>
      <c r="B26" s="204" t="s">
        <v>86</v>
      </c>
      <c r="C26" s="204"/>
      <c r="D26" s="204"/>
      <c r="E26" s="56" t="s">
        <v>8</v>
      </c>
      <c r="F26" s="38" t="s">
        <v>63</v>
      </c>
      <c r="G26" s="36">
        <v>0.31</v>
      </c>
      <c r="H26" s="37">
        <f t="shared" si="0"/>
        <v>7056</v>
      </c>
    </row>
    <row r="27" spans="1:8" ht="15.75">
      <c r="A27" s="103"/>
      <c r="B27" s="204" t="s">
        <v>65</v>
      </c>
      <c r="C27" s="204"/>
      <c r="D27" s="204"/>
      <c r="E27" s="56" t="s">
        <v>8</v>
      </c>
      <c r="F27" s="38" t="s">
        <v>63</v>
      </c>
      <c r="G27" s="114">
        <v>0</v>
      </c>
      <c r="H27" s="37">
        <f t="shared" si="0"/>
        <v>0</v>
      </c>
    </row>
    <row r="28" spans="1:8" ht="25.5">
      <c r="A28" s="103"/>
      <c r="B28" s="208" t="s">
        <v>20</v>
      </c>
      <c r="C28" s="208"/>
      <c r="D28" s="208"/>
      <c r="E28" s="54" t="s">
        <v>30</v>
      </c>
      <c r="F28" s="38" t="s">
        <v>63</v>
      </c>
      <c r="G28" s="36">
        <v>1.54</v>
      </c>
      <c r="H28" s="37">
        <f t="shared" si="0"/>
        <v>35050</v>
      </c>
    </row>
    <row r="29" spans="1:8" ht="15.75" hidden="1">
      <c r="A29" s="104"/>
      <c r="B29" s="178" t="s">
        <v>66</v>
      </c>
      <c r="C29" s="166"/>
      <c r="D29" s="167"/>
      <c r="E29" s="56" t="s">
        <v>8</v>
      </c>
      <c r="F29" s="38"/>
      <c r="G29" s="36"/>
      <c r="H29" s="37"/>
    </row>
    <row r="30" spans="1:8" ht="25.5" hidden="1">
      <c r="A30" s="104"/>
      <c r="B30" s="178" t="s">
        <v>67</v>
      </c>
      <c r="C30" s="166"/>
      <c r="D30" s="167"/>
      <c r="E30" s="54" t="s">
        <v>30</v>
      </c>
      <c r="F30" s="38"/>
      <c r="G30" s="36"/>
      <c r="H30" s="37"/>
    </row>
    <row r="31" spans="1:8" ht="15.75">
      <c r="A31" s="103"/>
      <c r="B31" s="210" t="s">
        <v>27</v>
      </c>
      <c r="C31" s="211"/>
      <c r="D31" s="212"/>
      <c r="E31" s="7"/>
      <c r="F31" s="38"/>
      <c r="G31" s="10">
        <f>SUM(G16:G30)</f>
        <v>13.82</v>
      </c>
      <c r="H31" s="37">
        <f>ROUND($E$8*G31*4,0)</f>
        <v>314543</v>
      </c>
    </row>
    <row r="32" spans="1:8" ht="15.75" customHeight="1">
      <c r="A32" s="103" t="s">
        <v>122</v>
      </c>
      <c r="B32" s="197" t="s">
        <v>109</v>
      </c>
      <c r="C32" s="198"/>
      <c r="D32" s="198"/>
      <c r="E32" s="96" t="s">
        <v>117</v>
      </c>
      <c r="F32" s="16" t="s">
        <v>87</v>
      </c>
      <c r="G32" s="13">
        <v>1.54</v>
      </c>
      <c r="H32" s="37">
        <f>ROUND($E$8*G32*4,0)</f>
        <v>35050</v>
      </c>
    </row>
    <row r="33" spans="1:8" ht="15.75" customHeight="1">
      <c r="A33" s="103" t="s">
        <v>123</v>
      </c>
      <c r="B33" s="214" t="s">
        <v>88</v>
      </c>
      <c r="C33" s="214"/>
      <c r="D33" s="214"/>
      <c r="E33" s="214"/>
      <c r="F33" s="214"/>
      <c r="G33" s="10">
        <f>SUM(G31:G32)</f>
        <v>15.36</v>
      </c>
      <c r="H33" s="78">
        <f>ROUND($E$8*G33*4,0)</f>
        <v>349594</v>
      </c>
    </row>
    <row r="34" spans="1:8" ht="16.5" thickBot="1">
      <c r="A34" s="105" t="s">
        <v>124</v>
      </c>
      <c r="B34" s="215" t="s">
        <v>110</v>
      </c>
      <c r="C34" s="216"/>
      <c r="D34" s="217"/>
      <c r="E34" s="97" t="s">
        <v>117</v>
      </c>
      <c r="F34" s="80" t="s">
        <v>87</v>
      </c>
      <c r="G34" s="111">
        <v>0.8</v>
      </c>
      <c r="H34" s="82">
        <f>ROUND($E$8*G34*4,0)</f>
        <v>18208</v>
      </c>
    </row>
    <row r="35" spans="2:6" ht="15.75" customHeight="1">
      <c r="B35" s="218" t="s">
        <v>125</v>
      </c>
      <c r="C35" s="218"/>
      <c r="D35" s="218"/>
      <c r="E35" s="218"/>
      <c r="F35" s="106"/>
    </row>
    <row r="36" spans="1:4" ht="15.75">
      <c r="A36" s="107"/>
      <c r="B36" s="107"/>
      <c r="C36" s="107"/>
      <c r="D36" s="107"/>
    </row>
    <row r="37" spans="2:6" ht="15.75">
      <c r="B37" s="20" t="s">
        <v>126</v>
      </c>
      <c r="C37" s="20"/>
      <c r="D37" s="20"/>
      <c r="E37" s="20" t="s">
        <v>127</v>
      </c>
      <c r="F37" s="20"/>
    </row>
    <row r="39" spans="2:5" ht="15.75">
      <c r="B39" s="20" t="s">
        <v>128</v>
      </c>
      <c r="C39" s="20"/>
      <c r="D39" s="20"/>
      <c r="E39" t="s">
        <v>129</v>
      </c>
    </row>
  </sheetData>
  <sheetProtection/>
  <mergeCells count="26">
    <mergeCell ref="B19:D19"/>
    <mergeCell ref="B20:D20"/>
    <mergeCell ref="B21:D21"/>
    <mergeCell ref="B22:D22"/>
    <mergeCell ref="B14:F14"/>
    <mergeCell ref="B16:D16"/>
    <mergeCell ref="B17:D17"/>
    <mergeCell ref="B18:D18"/>
    <mergeCell ref="B23:D23"/>
    <mergeCell ref="B30:D30"/>
    <mergeCell ref="B31:D31"/>
    <mergeCell ref="B26:D26"/>
    <mergeCell ref="B27:D27"/>
    <mergeCell ref="B28:D28"/>
    <mergeCell ref="B29:D29"/>
    <mergeCell ref="B24:D24"/>
    <mergeCell ref="B25:D25"/>
    <mergeCell ref="D1:H1"/>
    <mergeCell ref="A4:H4"/>
    <mergeCell ref="B6:E6"/>
    <mergeCell ref="B13:D13"/>
    <mergeCell ref="B12:D12"/>
    <mergeCell ref="B35:E35"/>
    <mergeCell ref="B32:D32"/>
    <mergeCell ref="B33:F33"/>
    <mergeCell ref="B34:D3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8"/>
  <sheetViews>
    <sheetView zoomScalePageLayoutView="0" workbookViewId="0" topLeftCell="A30">
      <selection activeCell="G44" sqref="G4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179" t="s">
        <v>149</v>
      </c>
      <c r="B1" s="179"/>
      <c r="C1" s="179"/>
      <c r="D1" s="179"/>
      <c r="E1" s="179"/>
      <c r="F1" s="179"/>
      <c r="G1" s="179"/>
      <c r="H1" s="179"/>
      <c r="I1" s="179"/>
    </row>
    <row r="2" spans="1:9" ht="15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5.75" customHeight="1">
      <c r="A3" s="95"/>
      <c r="B3" s="95"/>
      <c r="C3" s="95"/>
      <c r="D3" s="95"/>
      <c r="E3" s="95"/>
      <c r="F3" s="95"/>
      <c r="G3" s="95"/>
      <c r="H3" s="95"/>
      <c r="I3" s="95"/>
    </row>
    <row r="4" spans="2:6" ht="31.5">
      <c r="B4" s="1" t="s">
        <v>37</v>
      </c>
      <c r="C4" s="2"/>
      <c r="D4" s="118" t="s">
        <v>136</v>
      </c>
      <c r="E4" s="4">
        <v>5690</v>
      </c>
      <c r="F4" s="2"/>
    </row>
    <row r="5" spans="2:6" ht="15.75">
      <c r="B5" s="3" t="s">
        <v>1</v>
      </c>
      <c r="C5" s="17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8.5" customHeight="1">
      <c r="A8" s="77" t="s">
        <v>32</v>
      </c>
      <c r="B8" s="200" t="s">
        <v>49</v>
      </c>
      <c r="C8" s="201"/>
      <c r="D8" s="202"/>
      <c r="E8" s="28" t="s">
        <v>6</v>
      </c>
      <c r="F8" s="28" t="s">
        <v>7</v>
      </c>
      <c r="G8" s="119" t="s">
        <v>137</v>
      </c>
      <c r="H8" s="91" t="s">
        <v>138</v>
      </c>
      <c r="I8" s="110" t="s">
        <v>139</v>
      </c>
    </row>
    <row r="9" spans="1:9" ht="25.5">
      <c r="A9" s="99">
        <v>1</v>
      </c>
      <c r="B9" s="181">
        <v>2</v>
      </c>
      <c r="C9" s="182"/>
      <c r="D9" s="183"/>
      <c r="E9" s="100">
        <v>3</v>
      </c>
      <c r="F9" s="100"/>
      <c r="G9" s="120">
        <v>4</v>
      </c>
      <c r="H9" s="121">
        <v>5</v>
      </c>
      <c r="I9" s="122" t="s">
        <v>140</v>
      </c>
    </row>
    <row r="10" spans="1:9" ht="15.75" customHeight="1">
      <c r="A10" s="29">
        <v>1</v>
      </c>
      <c r="B10" s="203" t="s">
        <v>41</v>
      </c>
      <c r="C10" s="203"/>
      <c r="D10" s="203"/>
      <c r="E10" s="203"/>
      <c r="F10" s="203"/>
      <c r="G10" s="123"/>
      <c r="H10" s="124"/>
      <c r="I10" s="31"/>
    </row>
    <row r="11" spans="1:9" ht="31.5" customHeight="1">
      <c r="A11" s="29"/>
      <c r="B11" s="188" t="s">
        <v>85</v>
      </c>
      <c r="C11" s="188"/>
      <c r="D11" s="188"/>
      <c r="E11" s="188"/>
      <c r="F11" s="188"/>
      <c r="G11" s="13">
        <f>G32</f>
        <v>13.809999999999999</v>
      </c>
      <c r="H11" s="125">
        <f>H32</f>
        <v>15.3</v>
      </c>
      <c r="I11" s="37">
        <f>ROUND($E$4*G11*6,0)+ROUND($E$4*H11*6,0)</f>
        <v>993815</v>
      </c>
    </row>
    <row r="12" spans="1:9" ht="15.75" customHeight="1">
      <c r="A12" s="29"/>
      <c r="B12" s="206" t="s">
        <v>42</v>
      </c>
      <c r="C12" s="206"/>
      <c r="D12" s="206"/>
      <c r="E12" s="206"/>
      <c r="F12" s="206"/>
      <c r="G12" s="13">
        <f>G33</f>
        <v>0.8</v>
      </c>
      <c r="H12" s="126">
        <f>H33</f>
        <v>0.85</v>
      </c>
      <c r="I12" s="37">
        <f>ROUND($E$4*G12*6,0)+ROUND($E$4*H12*6,0)</f>
        <v>56331</v>
      </c>
    </row>
    <row r="13" spans="1:9" ht="15.75" customHeight="1">
      <c r="A13" s="29">
        <v>2</v>
      </c>
      <c r="B13" s="170" t="s">
        <v>33</v>
      </c>
      <c r="C13" s="170"/>
      <c r="D13" s="170"/>
      <c r="E13" s="170"/>
      <c r="F13" s="170"/>
      <c r="G13" s="32"/>
      <c r="H13" s="108"/>
      <c r="I13" s="37"/>
    </row>
    <row r="14" spans="1:9" ht="18.75" customHeight="1">
      <c r="A14" s="29"/>
      <c r="B14" s="9" t="s">
        <v>34</v>
      </c>
      <c r="C14" s="9"/>
      <c r="D14" s="9"/>
      <c r="E14" s="9"/>
      <c r="F14" s="5"/>
      <c r="G14" s="33"/>
      <c r="H14" s="127"/>
      <c r="I14" s="37"/>
    </row>
    <row r="15" spans="1:9" ht="27.75" customHeight="1">
      <c r="A15" s="34"/>
      <c r="B15" s="207" t="s">
        <v>141</v>
      </c>
      <c r="C15" s="207"/>
      <c r="D15" s="207"/>
      <c r="E15" s="54" t="s">
        <v>29</v>
      </c>
      <c r="F15" s="35" t="s">
        <v>23</v>
      </c>
      <c r="G15" s="36">
        <v>1.29</v>
      </c>
      <c r="H15" s="128">
        <v>1.37</v>
      </c>
      <c r="I15" s="37">
        <f aca="true" t="shared" si="0" ref="I15:I33">ROUND($E$4*G15*6,0)+ROUND($E$4*H15*6,0)</f>
        <v>90813</v>
      </c>
    </row>
    <row r="16" spans="1:9" ht="16.5" customHeight="1">
      <c r="A16" s="34"/>
      <c r="B16" s="207" t="s">
        <v>17</v>
      </c>
      <c r="C16" s="207"/>
      <c r="D16" s="207"/>
      <c r="E16" s="54" t="s">
        <v>29</v>
      </c>
      <c r="F16" s="35" t="s">
        <v>18</v>
      </c>
      <c r="G16" s="36">
        <v>0.3</v>
      </c>
      <c r="H16" s="128">
        <v>0.32</v>
      </c>
      <c r="I16" s="37">
        <f t="shared" si="0"/>
        <v>21167</v>
      </c>
    </row>
    <row r="17" spans="1:9" ht="16.5" customHeight="1">
      <c r="A17" s="34"/>
      <c r="B17" s="204" t="s">
        <v>142</v>
      </c>
      <c r="C17" s="204"/>
      <c r="D17" s="204"/>
      <c r="E17" s="56" t="s">
        <v>61</v>
      </c>
      <c r="F17" s="38" t="s">
        <v>19</v>
      </c>
      <c r="G17" s="36">
        <v>0.06</v>
      </c>
      <c r="H17" s="128">
        <v>0.06</v>
      </c>
      <c r="I17" s="37">
        <f t="shared" si="0"/>
        <v>4096</v>
      </c>
    </row>
    <row r="18" spans="1:9" ht="15.75" customHeight="1">
      <c r="A18" s="34"/>
      <c r="B18" s="205" t="s">
        <v>28</v>
      </c>
      <c r="C18" s="205"/>
      <c r="D18" s="205"/>
      <c r="E18" s="58" t="s">
        <v>8</v>
      </c>
      <c r="F18" s="39" t="s">
        <v>9</v>
      </c>
      <c r="G18" s="36">
        <v>0.54</v>
      </c>
      <c r="H18" s="128">
        <v>0.58</v>
      </c>
      <c r="I18" s="37">
        <f t="shared" si="0"/>
        <v>38237</v>
      </c>
    </row>
    <row r="19" spans="1:9" ht="70.5" customHeight="1">
      <c r="A19" s="34"/>
      <c r="B19" s="204" t="s">
        <v>26</v>
      </c>
      <c r="C19" s="204"/>
      <c r="D19" s="204"/>
      <c r="E19" s="56" t="s">
        <v>62</v>
      </c>
      <c r="F19" s="38" t="s">
        <v>24</v>
      </c>
      <c r="G19" s="36">
        <v>0.13</v>
      </c>
      <c r="H19" s="128">
        <v>0.14</v>
      </c>
      <c r="I19" s="37">
        <f>ROUND($E$4*G19*6,0)+ROUND($E$4*H19*6,0)</f>
        <v>9218</v>
      </c>
    </row>
    <row r="20" spans="1:9" ht="28.5" customHeight="1">
      <c r="A20" s="34"/>
      <c r="B20" s="204" t="s">
        <v>10</v>
      </c>
      <c r="C20" s="204"/>
      <c r="D20" s="204"/>
      <c r="E20" s="56" t="s">
        <v>8</v>
      </c>
      <c r="F20" s="38" t="s">
        <v>11</v>
      </c>
      <c r="G20" s="36">
        <v>2.35</v>
      </c>
      <c r="H20" s="128">
        <v>2.5</v>
      </c>
      <c r="I20" s="37">
        <f t="shared" si="0"/>
        <v>165579</v>
      </c>
    </row>
    <row r="21" spans="1:9" ht="16.5" customHeight="1">
      <c r="A21" s="34"/>
      <c r="B21" s="204" t="s">
        <v>25</v>
      </c>
      <c r="C21" s="208"/>
      <c r="D21" s="208"/>
      <c r="E21" s="59" t="s">
        <v>12</v>
      </c>
      <c r="F21" s="32" t="s">
        <v>43</v>
      </c>
      <c r="G21" s="36">
        <v>0.05</v>
      </c>
      <c r="H21" s="128">
        <v>0.05</v>
      </c>
      <c r="I21" s="37">
        <f t="shared" si="0"/>
        <v>3414</v>
      </c>
    </row>
    <row r="22" spans="1:9" ht="27" customHeight="1">
      <c r="A22" s="34"/>
      <c r="B22" s="204" t="s">
        <v>36</v>
      </c>
      <c r="C22" s="204"/>
      <c r="D22" s="204"/>
      <c r="E22" s="54" t="s">
        <v>30</v>
      </c>
      <c r="F22" s="38" t="s">
        <v>143</v>
      </c>
      <c r="G22" s="36">
        <v>1.63</v>
      </c>
      <c r="H22" s="128">
        <v>1.74</v>
      </c>
      <c r="I22" s="37">
        <f t="shared" si="0"/>
        <v>115052</v>
      </c>
    </row>
    <row r="23" spans="1:9" ht="51">
      <c r="A23" s="34"/>
      <c r="B23" s="207" t="s">
        <v>14</v>
      </c>
      <c r="C23" s="207"/>
      <c r="D23" s="207"/>
      <c r="E23" s="54" t="s">
        <v>44</v>
      </c>
      <c r="F23" s="38" t="s">
        <v>143</v>
      </c>
      <c r="G23" s="114">
        <v>0</v>
      </c>
      <c r="H23" s="128">
        <v>0.6</v>
      </c>
      <c r="I23" s="37">
        <f t="shared" si="0"/>
        <v>20484</v>
      </c>
    </row>
    <row r="24" spans="1:9" ht="30" customHeight="1">
      <c r="A24" s="34"/>
      <c r="B24" s="204" t="s">
        <v>31</v>
      </c>
      <c r="C24" s="208"/>
      <c r="D24" s="208"/>
      <c r="E24" s="54" t="s">
        <v>30</v>
      </c>
      <c r="F24" s="38" t="s">
        <v>143</v>
      </c>
      <c r="G24" s="36">
        <f>4.38-G25-G26</f>
        <v>3.7600000000000002</v>
      </c>
      <c r="H24" s="36">
        <f>4.66-H25-H26</f>
        <v>4</v>
      </c>
      <c r="I24" s="37">
        <f t="shared" si="0"/>
        <v>264926</v>
      </c>
    </row>
    <row r="25" spans="1:9" ht="16.5" customHeight="1">
      <c r="A25" s="34"/>
      <c r="B25" s="204" t="s">
        <v>86</v>
      </c>
      <c r="C25" s="204"/>
      <c r="D25" s="204"/>
      <c r="E25" s="56" t="s">
        <v>8</v>
      </c>
      <c r="F25" s="38" t="s">
        <v>143</v>
      </c>
      <c r="G25" s="36">
        <v>0.31</v>
      </c>
      <c r="H25" s="128">
        <v>0.33</v>
      </c>
      <c r="I25" s="37">
        <f t="shared" si="0"/>
        <v>21849</v>
      </c>
    </row>
    <row r="26" spans="1:9" ht="16.5" customHeight="1">
      <c r="A26" s="34"/>
      <c r="B26" s="204" t="s">
        <v>65</v>
      </c>
      <c r="C26" s="204"/>
      <c r="D26" s="204"/>
      <c r="E26" s="56" t="s">
        <v>8</v>
      </c>
      <c r="F26" s="38" t="s">
        <v>143</v>
      </c>
      <c r="G26" s="36">
        <v>0.31</v>
      </c>
      <c r="H26" s="128">
        <v>0.33</v>
      </c>
      <c r="I26" s="37">
        <f t="shared" si="0"/>
        <v>21849</v>
      </c>
    </row>
    <row r="27" spans="1:9" ht="27.75" customHeight="1">
      <c r="A27" s="34"/>
      <c r="B27" s="208" t="s">
        <v>144</v>
      </c>
      <c r="C27" s="208"/>
      <c r="D27" s="208"/>
      <c r="E27" s="54" t="s">
        <v>30</v>
      </c>
      <c r="F27" s="38" t="s">
        <v>143</v>
      </c>
      <c r="G27" s="36">
        <v>1.54</v>
      </c>
      <c r="H27" s="128">
        <v>1.64</v>
      </c>
      <c r="I27" s="37">
        <f t="shared" si="0"/>
        <v>108566</v>
      </c>
    </row>
    <row r="28" spans="1:9" ht="15.75" hidden="1">
      <c r="A28" s="29"/>
      <c r="B28" s="178" t="s">
        <v>66</v>
      </c>
      <c r="C28" s="166"/>
      <c r="D28" s="167"/>
      <c r="E28" s="56" t="s">
        <v>8</v>
      </c>
      <c r="F28" s="38"/>
      <c r="G28" s="36"/>
      <c r="H28" s="128"/>
      <c r="I28" s="37">
        <f t="shared" si="0"/>
        <v>0</v>
      </c>
    </row>
    <row r="29" spans="1:9" ht="27.75" customHeight="1" hidden="1">
      <c r="A29" s="29"/>
      <c r="B29" s="178" t="s">
        <v>67</v>
      </c>
      <c r="C29" s="166"/>
      <c r="D29" s="167"/>
      <c r="E29" s="54" t="s">
        <v>30</v>
      </c>
      <c r="F29" s="38"/>
      <c r="G29" s="36"/>
      <c r="H29" s="128"/>
      <c r="I29" s="37">
        <f t="shared" si="0"/>
        <v>0</v>
      </c>
    </row>
    <row r="30" spans="1:9" ht="15.75">
      <c r="A30" s="34"/>
      <c r="B30" s="210" t="s">
        <v>27</v>
      </c>
      <c r="C30" s="211"/>
      <c r="D30" s="212"/>
      <c r="E30" s="7"/>
      <c r="F30" s="38"/>
      <c r="G30" s="10">
        <f>SUM(G15:G29)</f>
        <v>12.27</v>
      </c>
      <c r="H30" s="10">
        <f>SUM(H15:H29)</f>
        <v>13.66</v>
      </c>
      <c r="I30" s="37">
        <f t="shared" si="0"/>
        <v>885250</v>
      </c>
    </row>
    <row r="31" spans="1:9" ht="14.25" customHeight="1">
      <c r="A31" s="29">
        <v>3</v>
      </c>
      <c r="B31" s="197" t="s">
        <v>145</v>
      </c>
      <c r="C31" s="198"/>
      <c r="D31" s="198"/>
      <c r="E31" s="96" t="s">
        <v>117</v>
      </c>
      <c r="F31" s="16" t="s">
        <v>146</v>
      </c>
      <c r="G31" s="13">
        <v>1.54</v>
      </c>
      <c r="H31" s="13">
        <v>1.64</v>
      </c>
      <c r="I31" s="37">
        <f t="shared" si="0"/>
        <v>108566</v>
      </c>
    </row>
    <row r="32" spans="1:9" ht="16.5" customHeight="1">
      <c r="A32" s="29"/>
      <c r="B32" s="214" t="s">
        <v>88</v>
      </c>
      <c r="C32" s="214"/>
      <c r="D32" s="214"/>
      <c r="E32" s="214"/>
      <c r="F32" s="214"/>
      <c r="G32" s="10">
        <f>SUM(G30:G31)</f>
        <v>13.809999999999999</v>
      </c>
      <c r="H32" s="10">
        <f>SUM(H30:H31)</f>
        <v>15.3</v>
      </c>
      <c r="I32" s="37">
        <f t="shared" si="0"/>
        <v>993815</v>
      </c>
    </row>
    <row r="33" spans="1:9" ht="16.5" customHeight="1" thickBot="1">
      <c r="A33" s="79">
        <v>4</v>
      </c>
      <c r="B33" s="215" t="s">
        <v>147</v>
      </c>
      <c r="C33" s="216"/>
      <c r="D33" s="217"/>
      <c r="E33" s="97" t="s">
        <v>117</v>
      </c>
      <c r="F33" s="80" t="s">
        <v>146</v>
      </c>
      <c r="G33" s="111">
        <v>0.8</v>
      </c>
      <c r="H33" s="111">
        <v>0.85</v>
      </c>
      <c r="I33" s="37">
        <f t="shared" si="0"/>
        <v>56331</v>
      </c>
    </row>
    <row r="34" spans="1:9" ht="47.25" customHeight="1">
      <c r="A34" s="218" t="s">
        <v>148</v>
      </c>
      <c r="B34" s="218"/>
      <c r="C34" s="218"/>
      <c r="D34" s="218"/>
      <c r="E34" s="218"/>
      <c r="F34" s="129"/>
      <c r="G34" s="129"/>
      <c r="H34" s="129"/>
      <c r="I34" s="129"/>
    </row>
    <row r="35" spans="1:11" ht="15.75" customHeight="1">
      <c r="A35" s="93"/>
      <c r="B35" s="213"/>
      <c r="C35" s="213"/>
      <c r="D35" s="213"/>
      <c r="E35" s="213"/>
      <c r="F35" s="213"/>
      <c r="K35" s="25"/>
    </row>
    <row r="36" spans="1:9" ht="15.75" customHeight="1">
      <c r="A36" s="93"/>
      <c r="B36" s="221"/>
      <c r="C36" s="221"/>
      <c r="D36" s="221"/>
      <c r="E36" s="221"/>
      <c r="F36" s="221"/>
      <c r="I36" t="s">
        <v>39</v>
      </c>
    </row>
    <row r="37" spans="1:6" ht="15.75" customHeight="1">
      <c r="A37" s="93"/>
      <c r="B37" s="221"/>
      <c r="C37" s="221"/>
      <c r="D37" s="221"/>
      <c r="E37" s="221"/>
      <c r="F37" s="221"/>
    </row>
    <row r="38" spans="2:8" ht="15.75">
      <c r="B38" s="20" t="s">
        <v>172</v>
      </c>
      <c r="C38" s="20"/>
      <c r="D38" s="20"/>
      <c r="E38" s="20"/>
      <c r="F38" s="20"/>
      <c r="G38" s="20"/>
      <c r="H38" s="20"/>
    </row>
  </sheetData>
  <sheetProtection/>
  <mergeCells count="30">
    <mergeCell ref="B36:F36"/>
    <mergeCell ref="B37:F37"/>
    <mergeCell ref="B32:F32"/>
    <mergeCell ref="B33:D33"/>
    <mergeCell ref="A34:E34"/>
    <mergeCell ref="B35:F35"/>
    <mergeCell ref="B24:D24"/>
    <mergeCell ref="B25:D25"/>
    <mergeCell ref="B26:D26"/>
    <mergeCell ref="B27:D27"/>
    <mergeCell ref="B28:D28"/>
    <mergeCell ref="B29:D29"/>
    <mergeCell ref="B30:D30"/>
    <mergeCell ref="B31:D31"/>
    <mergeCell ref="B16:D16"/>
    <mergeCell ref="B17:D17"/>
    <mergeCell ref="B18:D18"/>
    <mergeCell ref="B19:D19"/>
    <mergeCell ref="B20:D20"/>
    <mergeCell ref="B21:D21"/>
    <mergeCell ref="B22:D22"/>
    <mergeCell ref="B23:D23"/>
    <mergeCell ref="A1:I1"/>
    <mergeCell ref="B8:D8"/>
    <mergeCell ref="B9:D9"/>
    <mergeCell ref="B10:F10"/>
    <mergeCell ref="B11:F11"/>
    <mergeCell ref="B12:F12"/>
    <mergeCell ref="B13:F13"/>
    <mergeCell ref="B15:D1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46"/>
  <sheetViews>
    <sheetView tabSelected="1" zoomScalePageLayoutView="0" workbookViewId="0" topLeftCell="A1">
      <selection activeCell="B18" sqref="B18:D18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6.25390625" style="0" customWidth="1"/>
    <col min="4" max="4" width="18.50390625" style="0" customWidth="1"/>
    <col min="5" max="5" width="19.25390625" style="0" customWidth="1"/>
    <col min="6" max="6" width="22.50390625" style="0" hidden="1" customWidth="1"/>
    <col min="7" max="7" width="14.875" style="0" hidden="1" customWidth="1"/>
    <col min="8" max="8" width="10.625" style="0" hidden="1" customWidth="1"/>
    <col min="9" max="9" width="11.625" style="0" hidden="1" customWidth="1"/>
    <col min="10" max="10" width="22.25390625" style="0" customWidth="1"/>
  </cols>
  <sheetData>
    <row r="1" spans="1:10" ht="98.25" customHeight="1">
      <c r="A1" s="179" t="s">
        <v>160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68.25" customHeight="1">
      <c r="A2" s="180" t="s">
        <v>171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2:9" ht="31.5">
      <c r="B3" s="1" t="s">
        <v>161</v>
      </c>
      <c r="C3" s="2"/>
      <c r="D3" s="118" t="s">
        <v>150</v>
      </c>
      <c r="E3" s="4">
        <v>5690</v>
      </c>
      <c r="F3" s="2"/>
      <c r="I3" s="70"/>
    </row>
    <row r="4" spans="2:6" ht="15.75">
      <c r="B4" s="3" t="s">
        <v>1</v>
      </c>
      <c r="C4" s="17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131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131" t="s">
        <v>15</v>
      </c>
      <c r="F6" s="2"/>
      <c r="G6" s="2"/>
    </row>
    <row r="7" spans="1:10" ht="31.5" customHeight="1">
      <c r="A7" s="11" t="s">
        <v>32</v>
      </c>
      <c r="B7" s="181" t="s">
        <v>49</v>
      </c>
      <c r="C7" s="182"/>
      <c r="D7" s="183"/>
      <c r="E7" s="6" t="s">
        <v>6</v>
      </c>
      <c r="F7" s="6" t="s">
        <v>7</v>
      </c>
      <c r="G7" s="132" t="s">
        <v>163</v>
      </c>
      <c r="H7" s="184" t="s">
        <v>164</v>
      </c>
      <c r="I7" s="185"/>
      <c r="J7" s="186"/>
    </row>
    <row r="8" spans="1:10" ht="15.75" customHeight="1">
      <c r="A8" s="12">
        <v>1</v>
      </c>
      <c r="B8" s="171"/>
      <c r="C8" s="172"/>
      <c r="D8" s="172"/>
      <c r="E8" s="172"/>
      <c r="F8" s="173"/>
      <c r="G8" s="133"/>
      <c r="H8" s="134" t="s">
        <v>51</v>
      </c>
      <c r="I8" s="49" t="s">
        <v>52</v>
      </c>
      <c r="J8" s="49" t="s">
        <v>53</v>
      </c>
    </row>
    <row r="9" spans="1:10" ht="15.75" customHeight="1">
      <c r="A9" s="12"/>
      <c r="B9" s="171" t="s">
        <v>54</v>
      </c>
      <c r="C9" s="172"/>
      <c r="D9" s="172"/>
      <c r="E9" s="172"/>
      <c r="F9" s="173"/>
      <c r="G9" s="22"/>
      <c r="H9" s="22"/>
      <c r="I9" s="22"/>
      <c r="J9" s="49"/>
    </row>
    <row r="10" spans="1:10" ht="29.25" customHeight="1">
      <c r="A10" s="50"/>
      <c r="B10" s="235" t="s">
        <v>55</v>
      </c>
      <c r="C10" s="235"/>
      <c r="D10" s="235"/>
      <c r="E10" s="235"/>
      <c r="F10" s="235"/>
      <c r="G10" s="135"/>
      <c r="H10" s="136">
        <v>356813.98</v>
      </c>
      <c r="I10" s="30"/>
      <c r="J10" s="137">
        <f>H10+I10</f>
        <v>356813.98</v>
      </c>
    </row>
    <row r="11" spans="1:10" ht="15.75" customHeight="1">
      <c r="A11" s="50"/>
      <c r="B11" s="235" t="s">
        <v>56</v>
      </c>
      <c r="C11" s="235"/>
      <c r="D11" s="235"/>
      <c r="E11" s="235"/>
      <c r="F11" s="235"/>
      <c r="G11" s="135"/>
      <c r="H11" s="138">
        <v>15922.71</v>
      </c>
      <c r="I11" s="30"/>
      <c r="J11" s="137">
        <f>H11+I11</f>
        <v>15922.71</v>
      </c>
    </row>
    <row r="12" spans="1:10" ht="15.75" customHeight="1">
      <c r="A12" s="12"/>
      <c r="B12" s="235" t="s">
        <v>57</v>
      </c>
      <c r="C12" s="235"/>
      <c r="D12" s="235"/>
      <c r="E12" s="235"/>
      <c r="F12" s="235"/>
      <c r="G12" s="135"/>
      <c r="H12" s="136"/>
      <c r="I12" s="30"/>
      <c r="J12" s="137">
        <f>H12+I12</f>
        <v>0</v>
      </c>
    </row>
    <row r="13" spans="1:10" ht="15.75" customHeight="1">
      <c r="A13" s="12"/>
      <c r="B13" s="235" t="s">
        <v>151</v>
      </c>
      <c r="C13" s="235"/>
      <c r="D13" s="235"/>
      <c r="E13" s="235"/>
      <c r="F13" s="235"/>
      <c r="G13" s="135"/>
      <c r="H13" s="136"/>
      <c r="I13" s="139"/>
      <c r="J13" s="137">
        <f>H13+I13</f>
        <v>0</v>
      </c>
    </row>
    <row r="14" spans="1:10" ht="15.75" customHeight="1">
      <c r="A14" s="12"/>
      <c r="B14" s="188" t="s">
        <v>59</v>
      </c>
      <c r="C14" s="188"/>
      <c r="D14" s="188"/>
      <c r="E14" s="188"/>
      <c r="F14" s="188"/>
      <c r="G14" s="135"/>
      <c r="H14" s="140">
        <f>SUM(H10:H12)</f>
        <v>372736.69</v>
      </c>
      <c r="I14" s="53">
        <f>SUM(I10:I12)</f>
        <v>0</v>
      </c>
      <c r="J14" s="140">
        <f>SUM(J10:J13)</f>
        <v>372736.69</v>
      </c>
    </row>
    <row r="15" spans="1:10" ht="15.75" customHeight="1">
      <c r="A15" s="12">
        <v>2</v>
      </c>
      <c r="B15" s="237" t="s">
        <v>33</v>
      </c>
      <c r="C15" s="237"/>
      <c r="D15" s="237"/>
      <c r="E15" s="237"/>
      <c r="F15" s="237"/>
      <c r="G15" s="135"/>
      <c r="H15" s="136"/>
      <c r="I15" s="30"/>
      <c r="J15" s="24"/>
    </row>
    <row r="16" spans="1:10" ht="18.75" customHeight="1">
      <c r="A16" s="12" t="s">
        <v>45</v>
      </c>
      <c r="B16" s="141" t="s">
        <v>34</v>
      </c>
      <c r="C16" s="141"/>
      <c r="D16" s="141"/>
      <c r="E16" s="141"/>
      <c r="F16" s="66"/>
      <c r="G16" s="134"/>
      <c r="H16" s="134"/>
      <c r="I16" s="46"/>
      <c r="J16" s="49"/>
    </row>
    <row r="17" spans="1:10" ht="31.5" customHeight="1">
      <c r="A17" s="15"/>
      <c r="B17" s="236" t="s">
        <v>152</v>
      </c>
      <c r="C17" s="236"/>
      <c r="D17" s="236"/>
      <c r="E17" s="54" t="s">
        <v>29</v>
      </c>
      <c r="F17" s="142" t="s">
        <v>23</v>
      </c>
      <c r="G17" s="36">
        <v>1.29</v>
      </c>
      <c r="H17" s="143">
        <f>ROUND($E$3*G17*4,2)</f>
        <v>29360.4</v>
      </c>
      <c r="I17" s="144"/>
      <c r="J17" s="145">
        <f>SUM(H17:I17)</f>
        <v>29360.4</v>
      </c>
    </row>
    <row r="18" spans="1:10" ht="15.75" customHeight="1">
      <c r="A18" s="12"/>
      <c r="B18" s="234" t="s">
        <v>17</v>
      </c>
      <c r="C18" s="234"/>
      <c r="D18" s="234"/>
      <c r="E18" s="54" t="s">
        <v>29</v>
      </c>
      <c r="F18" s="142" t="s">
        <v>18</v>
      </c>
      <c r="G18" s="36">
        <v>0.3</v>
      </c>
      <c r="H18" s="143">
        <f>ROUND($E$3*G18*4,2)</f>
        <v>6828</v>
      </c>
      <c r="I18" s="144"/>
      <c r="J18" s="145">
        <f>SUM(H18:I18)</f>
        <v>6828</v>
      </c>
    </row>
    <row r="19" spans="1:10" ht="15.75" customHeight="1">
      <c r="A19" s="12"/>
      <c r="B19" s="233" t="s">
        <v>22</v>
      </c>
      <c r="C19" s="233"/>
      <c r="D19" s="233"/>
      <c r="E19" s="56" t="s">
        <v>61</v>
      </c>
      <c r="F19" s="16" t="s">
        <v>19</v>
      </c>
      <c r="G19" s="36">
        <v>1.05</v>
      </c>
      <c r="H19" s="143">
        <v>12835.68</v>
      </c>
      <c r="I19" s="144"/>
      <c r="J19" s="146">
        <f>H19+I19</f>
        <v>12835.68</v>
      </c>
    </row>
    <row r="20" spans="1:10" ht="15.75" customHeight="1">
      <c r="A20" s="15"/>
      <c r="B20" s="236" t="s">
        <v>28</v>
      </c>
      <c r="C20" s="236"/>
      <c r="D20" s="236"/>
      <c r="E20" s="58" t="s">
        <v>8</v>
      </c>
      <c r="F20" s="147" t="s">
        <v>9</v>
      </c>
      <c r="G20" s="36">
        <v>0.54</v>
      </c>
      <c r="H20" s="143">
        <f>ROUND($E$3*G20*4,2)</f>
        <v>12290.4</v>
      </c>
      <c r="I20" s="144"/>
      <c r="J20" s="145">
        <f>SUM(H20:I20)</f>
        <v>12290.4</v>
      </c>
    </row>
    <row r="21" spans="1:10" ht="52.5" customHeight="1">
      <c r="A21" s="12"/>
      <c r="B21" s="233" t="s">
        <v>26</v>
      </c>
      <c r="C21" s="233"/>
      <c r="D21" s="233"/>
      <c r="E21" s="56" t="s">
        <v>62</v>
      </c>
      <c r="F21" s="16" t="s">
        <v>24</v>
      </c>
      <c r="G21" s="36">
        <v>0.13</v>
      </c>
      <c r="H21" s="143">
        <v>0</v>
      </c>
      <c r="I21" s="144"/>
      <c r="J21" s="146">
        <f>H21+I21</f>
        <v>0</v>
      </c>
    </row>
    <row r="22" spans="1:10" ht="27.75" customHeight="1">
      <c r="A22" s="15"/>
      <c r="B22" s="233" t="s">
        <v>10</v>
      </c>
      <c r="C22" s="233"/>
      <c r="D22" s="233"/>
      <c r="E22" s="56" t="s">
        <v>8</v>
      </c>
      <c r="F22" s="16" t="s">
        <v>11</v>
      </c>
      <c r="G22" s="36">
        <v>2.35</v>
      </c>
      <c r="H22" s="143">
        <f>ROUND($E$3*G22*4,2)</f>
        <v>53486</v>
      </c>
      <c r="I22" s="144"/>
      <c r="J22" s="145">
        <f>SUM(H22:I22)</f>
        <v>53486</v>
      </c>
    </row>
    <row r="23" spans="1:10" ht="15.75" customHeight="1">
      <c r="A23" s="15"/>
      <c r="B23" s="233" t="s">
        <v>25</v>
      </c>
      <c r="C23" s="225"/>
      <c r="D23" s="225"/>
      <c r="E23" s="59" t="s">
        <v>12</v>
      </c>
      <c r="F23" s="148" t="s">
        <v>13</v>
      </c>
      <c r="G23" s="36">
        <v>0.05</v>
      </c>
      <c r="H23" s="143">
        <v>0</v>
      </c>
      <c r="I23" s="144"/>
      <c r="J23" s="146">
        <f>H23+I23</f>
        <v>0</v>
      </c>
    </row>
    <row r="24" spans="1:10" ht="25.5">
      <c r="A24" s="12"/>
      <c r="B24" s="233" t="s">
        <v>36</v>
      </c>
      <c r="C24" s="233"/>
      <c r="D24" s="233"/>
      <c r="E24" s="54" t="s">
        <v>30</v>
      </c>
      <c r="F24" s="60" t="s">
        <v>153</v>
      </c>
      <c r="G24" s="36">
        <v>1.63</v>
      </c>
      <c r="H24" s="143">
        <f>ROUND($E$3*G24*4,2)</f>
        <v>37098.8</v>
      </c>
      <c r="I24" s="144"/>
      <c r="J24" s="145">
        <f aca="true" t="shared" si="0" ref="J24:J29">SUM(H24:I24)</f>
        <v>37098.8</v>
      </c>
    </row>
    <row r="25" spans="1:10" ht="41.25" customHeight="1">
      <c r="A25" s="12"/>
      <c r="B25" s="234" t="s">
        <v>14</v>
      </c>
      <c r="C25" s="234"/>
      <c r="D25" s="234"/>
      <c r="E25" s="54" t="s">
        <v>154</v>
      </c>
      <c r="F25" s="60" t="s">
        <v>153</v>
      </c>
      <c r="G25" s="36">
        <v>0.56</v>
      </c>
      <c r="H25" s="143">
        <v>12836.76</v>
      </c>
      <c r="I25" s="144"/>
      <c r="J25" s="145">
        <f>H25+I25</f>
        <v>12836.76</v>
      </c>
    </row>
    <row r="26" spans="1:10" ht="34.5" customHeight="1">
      <c r="A26" s="12"/>
      <c r="B26" s="223" t="s">
        <v>155</v>
      </c>
      <c r="C26" s="231"/>
      <c r="D26" s="232"/>
      <c r="E26" s="54" t="s">
        <v>30</v>
      </c>
      <c r="F26" s="60" t="s">
        <v>153</v>
      </c>
      <c r="G26" s="36">
        <f>4.38-G27-G28</f>
        <v>4.07</v>
      </c>
      <c r="H26" s="143">
        <f>ROUND($E$3*G26*4,2)</f>
        <v>92633.2</v>
      </c>
      <c r="I26" s="149"/>
      <c r="J26" s="145">
        <f t="shared" si="0"/>
        <v>92633.2</v>
      </c>
    </row>
    <row r="27" spans="1:10" ht="20.25" customHeight="1">
      <c r="A27" s="15"/>
      <c r="B27" s="233" t="s">
        <v>64</v>
      </c>
      <c r="C27" s="233"/>
      <c r="D27" s="233"/>
      <c r="E27" s="56" t="s">
        <v>8</v>
      </c>
      <c r="F27" s="60" t="s">
        <v>153</v>
      </c>
      <c r="G27" s="36">
        <v>0.31</v>
      </c>
      <c r="H27" s="143">
        <f>ROUND($E$3*G27*4,2)</f>
        <v>7055.6</v>
      </c>
      <c r="I27" s="149"/>
      <c r="J27" s="145">
        <f t="shared" si="0"/>
        <v>7055.6</v>
      </c>
    </row>
    <row r="28" spans="1:10" ht="15.75" customHeight="1">
      <c r="A28" s="12"/>
      <c r="B28" s="233" t="s">
        <v>65</v>
      </c>
      <c r="C28" s="233"/>
      <c r="D28" s="233"/>
      <c r="E28" s="56" t="s">
        <v>8</v>
      </c>
      <c r="F28" s="60" t="s">
        <v>153</v>
      </c>
      <c r="G28" s="114">
        <v>0</v>
      </c>
      <c r="H28" s="143">
        <f>ROUND($E$3*G28*5,2)</f>
        <v>0</v>
      </c>
      <c r="I28" s="149"/>
      <c r="J28" s="145">
        <f t="shared" si="0"/>
        <v>0</v>
      </c>
    </row>
    <row r="29" spans="1:10" ht="25.5">
      <c r="A29" s="12"/>
      <c r="B29" s="225" t="s">
        <v>20</v>
      </c>
      <c r="C29" s="225"/>
      <c r="D29" s="225"/>
      <c r="E29" s="56" t="s">
        <v>30</v>
      </c>
      <c r="F29" s="60" t="s">
        <v>153</v>
      </c>
      <c r="G29" s="36">
        <v>1.54</v>
      </c>
      <c r="H29" s="143">
        <f>ROUND($E$3*G29*4,2)</f>
        <v>35050.4</v>
      </c>
      <c r="I29" s="144"/>
      <c r="J29" s="145">
        <f t="shared" si="0"/>
        <v>35050.4</v>
      </c>
    </row>
    <row r="30" spans="1:10" ht="15.75" customHeight="1">
      <c r="A30" s="12"/>
      <c r="B30" s="226"/>
      <c r="C30" s="227"/>
      <c r="D30" s="228"/>
      <c r="E30" s="56"/>
      <c r="F30" s="60"/>
      <c r="G30" s="148"/>
      <c r="H30" s="150"/>
      <c r="I30" s="139"/>
      <c r="J30" s="151"/>
    </row>
    <row r="31" spans="1:10" ht="15.75">
      <c r="A31" s="12"/>
      <c r="B31" s="229" t="s">
        <v>27</v>
      </c>
      <c r="C31" s="229"/>
      <c r="D31" s="229"/>
      <c r="E31" s="12"/>
      <c r="F31" s="60"/>
      <c r="G31" s="13">
        <f>SUM(G17:G29)</f>
        <v>13.82</v>
      </c>
      <c r="H31" s="68">
        <f>SUM(H17:H30)</f>
        <v>299475.24000000005</v>
      </c>
      <c r="I31" s="53">
        <f>SUM(I17:I30)</f>
        <v>0</v>
      </c>
      <c r="J31" s="68">
        <f>SUM(J17:J30)</f>
        <v>299475.24000000005</v>
      </c>
    </row>
    <row r="32" spans="1:10" ht="16.5" customHeight="1" hidden="1">
      <c r="A32" s="12"/>
      <c r="B32" s="230" t="s">
        <v>66</v>
      </c>
      <c r="C32" s="231"/>
      <c r="D32" s="232"/>
      <c r="E32" s="56" t="s">
        <v>8</v>
      </c>
      <c r="F32" s="60"/>
      <c r="G32" s="148"/>
      <c r="H32" s="150"/>
      <c r="I32" s="139"/>
      <c r="J32" s="151"/>
    </row>
    <row r="33" spans="1:10" ht="25.5" customHeight="1" hidden="1">
      <c r="A33" s="12"/>
      <c r="B33" s="230" t="s">
        <v>67</v>
      </c>
      <c r="C33" s="231"/>
      <c r="D33" s="232"/>
      <c r="E33" s="54" t="s">
        <v>30</v>
      </c>
      <c r="F33" s="60"/>
      <c r="G33" s="148"/>
      <c r="H33" s="150"/>
      <c r="I33" s="139"/>
      <c r="J33" s="151"/>
    </row>
    <row r="34" spans="1:10" ht="15.75">
      <c r="A34" s="12"/>
      <c r="B34" s="226"/>
      <c r="C34" s="227"/>
      <c r="D34" s="228"/>
      <c r="E34" s="56"/>
      <c r="F34" s="60"/>
      <c r="G34" s="148"/>
      <c r="H34" s="150"/>
      <c r="I34" s="139"/>
      <c r="J34" s="151"/>
    </row>
    <row r="35" spans="1:10" ht="23.25" customHeight="1">
      <c r="A35" s="12" t="s">
        <v>46</v>
      </c>
      <c r="B35" s="197" t="s">
        <v>156</v>
      </c>
      <c r="C35" s="198"/>
      <c r="D35" s="199"/>
      <c r="E35" s="152" t="s">
        <v>117</v>
      </c>
      <c r="F35" s="60" t="s">
        <v>153</v>
      </c>
      <c r="G35" s="13">
        <f>H35/E3/4</f>
        <v>2.3037785588752198</v>
      </c>
      <c r="H35" s="57">
        <v>52434</v>
      </c>
      <c r="I35" s="153">
        <v>0</v>
      </c>
      <c r="J35" s="68">
        <f>SUM(H35:I35)</f>
        <v>52434</v>
      </c>
    </row>
    <row r="36" spans="1:10" ht="15.75" customHeight="1">
      <c r="A36" s="14"/>
      <c r="B36" s="191" t="s">
        <v>35</v>
      </c>
      <c r="C36" s="191"/>
      <c r="D36" s="191"/>
      <c r="E36" s="191"/>
      <c r="F36" s="191"/>
      <c r="G36" s="13">
        <f>SUM(G31:G35)</f>
        <v>16.12377855887522</v>
      </c>
      <c r="H36" s="154">
        <f>SUM(H31:H35)</f>
        <v>351909.24000000005</v>
      </c>
      <c r="I36" s="155">
        <f>SUM(I31:I35)</f>
        <v>0</v>
      </c>
      <c r="J36" s="155">
        <f>SUM(J31:J35)</f>
        <v>351909.24000000005</v>
      </c>
    </row>
    <row r="37" spans="1:10" ht="15.75" customHeight="1">
      <c r="A37" s="12" t="s">
        <v>47</v>
      </c>
      <c r="B37" s="222" t="s">
        <v>69</v>
      </c>
      <c r="C37" s="222"/>
      <c r="D37" s="222"/>
      <c r="E37" s="152" t="s">
        <v>117</v>
      </c>
      <c r="F37" s="156"/>
      <c r="G37" s="13">
        <f>H37/E3/4</f>
        <v>0</v>
      </c>
      <c r="H37" s="67">
        <v>0</v>
      </c>
      <c r="I37" s="67">
        <v>0</v>
      </c>
      <c r="J37" s="157">
        <f>SUM(H37:I37)</f>
        <v>0</v>
      </c>
    </row>
    <row r="38" spans="1:10" ht="15.75" customHeight="1">
      <c r="A38" s="14"/>
      <c r="B38" s="191" t="s">
        <v>70</v>
      </c>
      <c r="C38" s="191"/>
      <c r="D38" s="191"/>
      <c r="E38" s="191"/>
      <c r="F38" s="191"/>
      <c r="G38" s="13">
        <f>SUM(G36:G37)</f>
        <v>16.12377855887522</v>
      </c>
      <c r="H38" s="154">
        <f>SUM(H36:H37)</f>
        <v>351909.24000000005</v>
      </c>
      <c r="I38" s="155">
        <f>SUM(I36:I37)</f>
        <v>0</v>
      </c>
      <c r="J38" s="155">
        <f>SUM(J36:J37)</f>
        <v>351909.24000000005</v>
      </c>
    </row>
    <row r="39" spans="1:10" ht="26.25" customHeight="1">
      <c r="A39" s="12">
        <v>3</v>
      </c>
      <c r="B39" s="223" t="s">
        <v>162</v>
      </c>
      <c r="C39" s="224"/>
      <c r="D39" s="224"/>
      <c r="E39" s="224"/>
      <c r="F39" s="224"/>
      <c r="G39" s="158"/>
      <c r="H39" s="143">
        <f>H14-H38</f>
        <v>20827.449999999953</v>
      </c>
      <c r="I39" s="143"/>
      <c r="J39" s="53">
        <f>J14-J38</f>
        <v>20827.449999999953</v>
      </c>
    </row>
    <row r="40" spans="1:10" ht="15" customHeight="1">
      <c r="A40" s="159"/>
      <c r="B40" s="130"/>
      <c r="C40" s="130"/>
      <c r="D40" s="130"/>
      <c r="E40" s="130"/>
      <c r="F40" s="130"/>
      <c r="G40" s="130"/>
      <c r="H40" s="160"/>
      <c r="I40" s="161"/>
      <c r="J40" s="162"/>
    </row>
    <row r="41" spans="2:6" ht="15.75" customHeight="1">
      <c r="B41" s="20"/>
      <c r="F41" s="20"/>
    </row>
    <row r="42" spans="2:6" ht="15.75">
      <c r="B42" s="26" t="s">
        <v>71</v>
      </c>
      <c r="C42" s="26"/>
      <c r="D42" s="26"/>
      <c r="E42" s="20"/>
      <c r="F42" s="20"/>
    </row>
    <row r="43" spans="2:4" ht="15.75">
      <c r="B43" s="26"/>
      <c r="C43" s="26"/>
      <c r="D43" s="26"/>
    </row>
    <row r="44" spans="2:5" ht="15.75">
      <c r="B44" s="69" t="s">
        <v>157</v>
      </c>
      <c r="C44" s="69"/>
      <c r="D44" s="27"/>
      <c r="E44" s="71" t="s">
        <v>158</v>
      </c>
    </row>
    <row r="45" ht="15.75">
      <c r="B45" s="20" t="s">
        <v>159</v>
      </c>
    </row>
    <row r="46" spans="2:4" ht="15.75">
      <c r="B46" s="195" t="s">
        <v>48</v>
      </c>
      <c r="C46" s="195"/>
      <c r="D46" s="195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5:D35"/>
    <mergeCell ref="B36:F36"/>
    <mergeCell ref="B29:D29"/>
    <mergeCell ref="B30:D30"/>
    <mergeCell ref="B31:D31"/>
    <mergeCell ref="B32:D32"/>
    <mergeCell ref="B37:D37"/>
    <mergeCell ref="B38:F38"/>
    <mergeCell ref="B39:F39"/>
    <mergeCell ref="B46:D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16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1.625" style="0" customWidth="1"/>
    <col min="2" max="2" width="14.375" style="0" customWidth="1"/>
    <col min="3" max="3" width="11.50390625" style="0" customWidth="1"/>
    <col min="4" max="4" width="9.75390625" style="0" customWidth="1"/>
    <col min="5" max="5" width="11.25390625" style="0" customWidth="1"/>
    <col min="6" max="6" width="11.125" style="0" customWidth="1"/>
    <col min="7" max="7" width="9.75390625" style="0" customWidth="1"/>
    <col min="8" max="8" width="11.125" style="0" customWidth="1"/>
    <col min="9" max="9" width="11.50390625" style="0" customWidth="1"/>
    <col min="10" max="10" width="10.25390625" style="0" customWidth="1"/>
    <col min="11" max="11" width="9.50390625" style="0" customWidth="1"/>
    <col min="12" max="12" width="12.00390625" style="0" customWidth="1"/>
    <col min="13" max="13" width="11.125" style="0" customWidth="1"/>
    <col min="14" max="14" width="10.125" style="0" customWidth="1"/>
    <col min="15" max="15" width="11.125" style="0" customWidth="1"/>
    <col min="16" max="16" width="10.125" style="0" customWidth="1"/>
    <col min="18" max="18" width="11.375" style="0" customWidth="1"/>
    <col min="19" max="19" width="11.00390625" style="0" customWidth="1"/>
  </cols>
  <sheetData>
    <row r="1" spans="1:19" ht="71.25" customHeight="1">
      <c r="A1" s="248" t="s">
        <v>170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9" ht="15.75" customHeight="1">
      <c r="A2" s="239" t="s">
        <v>168</v>
      </c>
      <c r="B2" s="240" t="s">
        <v>74</v>
      </c>
      <c r="C2" s="240" t="s">
        <v>89</v>
      </c>
      <c r="D2" s="240"/>
      <c r="E2" s="240"/>
      <c r="F2" s="240"/>
      <c r="G2" s="240"/>
      <c r="H2" s="240"/>
      <c r="I2" s="240"/>
      <c r="J2" s="249" t="s">
        <v>90</v>
      </c>
      <c r="K2" s="249"/>
      <c r="L2" s="249"/>
      <c r="M2" s="250" t="s">
        <v>91</v>
      </c>
      <c r="N2" s="240" t="s">
        <v>75</v>
      </c>
      <c r="O2" s="240"/>
      <c r="P2" s="240"/>
      <c r="Q2" s="240"/>
      <c r="R2" s="240"/>
      <c r="S2" s="253" t="s">
        <v>105</v>
      </c>
    </row>
    <row r="3" spans="1:19" ht="17.25" customHeight="1">
      <c r="A3" s="240"/>
      <c r="B3" s="240"/>
      <c r="C3" s="241" t="s">
        <v>76</v>
      </c>
      <c r="D3" s="242"/>
      <c r="E3" s="243"/>
      <c r="F3" s="241" t="s">
        <v>77</v>
      </c>
      <c r="G3" s="242"/>
      <c r="H3" s="243"/>
      <c r="I3" s="239" t="s">
        <v>78</v>
      </c>
      <c r="J3" s="244" t="s">
        <v>92</v>
      </c>
      <c r="K3" s="246" t="s">
        <v>93</v>
      </c>
      <c r="L3" s="244" t="s">
        <v>94</v>
      </c>
      <c r="M3" s="251"/>
      <c r="N3" s="239" t="s">
        <v>95</v>
      </c>
      <c r="O3" s="240" t="s">
        <v>79</v>
      </c>
      <c r="P3" s="240" t="s">
        <v>80</v>
      </c>
      <c r="Q3" s="240" t="s">
        <v>81</v>
      </c>
      <c r="R3" s="240" t="s">
        <v>82</v>
      </c>
      <c r="S3" s="253"/>
    </row>
    <row r="4" spans="1:19" ht="33" customHeight="1">
      <c r="A4" s="240"/>
      <c r="B4" s="240"/>
      <c r="C4" s="72" t="s">
        <v>83</v>
      </c>
      <c r="D4" s="73" t="s">
        <v>81</v>
      </c>
      <c r="E4" s="73" t="s">
        <v>82</v>
      </c>
      <c r="F4" s="72" t="s">
        <v>83</v>
      </c>
      <c r="G4" s="73" t="s">
        <v>81</v>
      </c>
      <c r="H4" s="73" t="s">
        <v>82</v>
      </c>
      <c r="I4" s="239"/>
      <c r="J4" s="245"/>
      <c r="K4" s="247"/>
      <c r="L4" s="245"/>
      <c r="M4" s="252"/>
      <c r="N4" s="240"/>
      <c r="O4" s="240"/>
      <c r="P4" s="240"/>
      <c r="Q4" s="240"/>
      <c r="R4" s="240"/>
      <c r="S4" s="253"/>
    </row>
    <row r="5" spans="1:19" ht="42.75">
      <c r="A5" s="73">
        <v>1</v>
      </c>
      <c r="B5" s="73">
        <v>2</v>
      </c>
      <c r="C5" s="72">
        <v>3</v>
      </c>
      <c r="D5" s="73">
        <v>4</v>
      </c>
      <c r="E5" s="73" t="s">
        <v>96</v>
      </c>
      <c r="F5" s="72">
        <v>6</v>
      </c>
      <c r="G5" s="73">
        <v>7</v>
      </c>
      <c r="H5" s="73" t="s">
        <v>97</v>
      </c>
      <c r="I5" s="72" t="s">
        <v>98</v>
      </c>
      <c r="J5" s="73">
        <v>10</v>
      </c>
      <c r="K5" s="73">
        <v>11</v>
      </c>
      <c r="L5" s="72">
        <v>12</v>
      </c>
      <c r="M5" s="72" t="s">
        <v>99</v>
      </c>
      <c r="N5" s="73">
        <v>14</v>
      </c>
      <c r="O5" s="72">
        <v>15</v>
      </c>
      <c r="P5" s="73">
        <v>16</v>
      </c>
      <c r="Q5" s="73">
        <v>17</v>
      </c>
      <c r="R5" s="72" t="s">
        <v>100</v>
      </c>
      <c r="S5" s="84" t="s">
        <v>101</v>
      </c>
    </row>
    <row r="6" spans="1:19" ht="15.75">
      <c r="A6" s="74">
        <v>-236977.71</v>
      </c>
      <c r="B6" s="83" t="s">
        <v>169</v>
      </c>
      <c r="C6" s="74">
        <v>326891.89</v>
      </c>
      <c r="D6" s="74">
        <v>14887.68</v>
      </c>
      <c r="E6" s="74">
        <f aca="true" t="shared" si="0" ref="E6:E11">SUM(C6:D6)</f>
        <v>341779.57</v>
      </c>
      <c r="F6" s="74">
        <v>356813.98</v>
      </c>
      <c r="G6" s="74">
        <v>15922.71</v>
      </c>
      <c r="H6" s="74">
        <f aca="true" t="shared" si="1" ref="H6:H11">SUM(F6:G6)</f>
        <v>372736.69</v>
      </c>
      <c r="I6" s="75">
        <f aca="true" t="shared" si="2" ref="I6:I11">E6-H6</f>
        <v>-30957.119999999995</v>
      </c>
      <c r="J6" s="74">
        <v>0</v>
      </c>
      <c r="K6" s="74">
        <v>0</v>
      </c>
      <c r="L6" s="74">
        <v>0</v>
      </c>
      <c r="M6" s="74">
        <f aca="true" t="shared" si="3" ref="M6:M11">H6+J6+K6+L6</f>
        <v>372736.69</v>
      </c>
      <c r="N6" s="74">
        <f>'отчет 2012(09-12)'!J29</f>
        <v>35050.4</v>
      </c>
      <c r="O6" s="74">
        <f>'отчет 2012(09-12)'!J31-'отчет 2012(09-12)'!J29</f>
        <v>264424.84</v>
      </c>
      <c r="P6" s="74">
        <f>'отчет 2012(09-12)'!J35</f>
        <v>52434</v>
      </c>
      <c r="Q6" s="75">
        <v>0</v>
      </c>
      <c r="R6" s="74">
        <f aca="true" t="shared" si="4" ref="R6:R11">SUM(N6:Q6)</f>
        <v>351909.24000000005</v>
      </c>
      <c r="S6" s="74">
        <f aca="true" t="shared" si="5" ref="S6:S11">M6-R6</f>
        <v>20827.449999999953</v>
      </c>
    </row>
    <row r="7" spans="1:19" ht="15.75">
      <c r="A7" s="74"/>
      <c r="B7" s="83"/>
      <c r="C7" s="74"/>
      <c r="D7" s="74"/>
      <c r="E7" s="74">
        <f t="shared" si="0"/>
        <v>0</v>
      </c>
      <c r="F7" s="74"/>
      <c r="G7" s="74"/>
      <c r="H7" s="74">
        <f t="shared" si="1"/>
        <v>0</v>
      </c>
      <c r="I7" s="75">
        <f t="shared" si="2"/>
        <v>0</v>
      </c>
      <c r="J7" s="74"/>
      <c r="K7" s="74"/>
      <c r="L7" s="74"/>
      <c r="M7" s="74">
        <f t="shared" si="3"/>
        <v>0</v>
      </c>
      <c r="N7" s="74"/>
      <c r="O7" s="74"/>
      <c r="P7" s="74"/>
      <c r="Q7" s="75"/>
      <c r="R7" s="74">
        <f t="shared" si="4"/>
        <v>0</v>
      </c>
      <c r="S7" s="74">
        <f t="shared" si="5"/>
        <v>0</v>
      </c>
    </row>
    <row r="8" spans="1:19" ht="15.75">
      <c r="A8" s="74"/>
      <c r="B8" s="83"/>
      <c r="C8" s="74"/>
      <c r="D8" s="74"/>
      <c r="E8" s="74">
        <f t="shared" si="0"/>
        <v>0</v>
      </c>
      <c r="F8" s="74"/>
      <c r="G8" s="74"/>
      <c r="H8" s="74">
        <f t="shared" si="1"/>
        <v>0</v>
      </c>
      <c r="I8" s="75">
        <f t="shared" si="2"/>
        <v>0</v>
      </c>
      <c r="J8" s="74"/>
      <c r="K8" s="74"/>
      <c r="L8" s="74"/>
      <c r="M8" s="74">
        <f t="shared" si="3"/>
        <v>0</v>
      </c>
      <c r="N8" s="74"/>
      <c r="O8" s="74"/>
      <c r="P8" s="74"/>
      <c r="Q8" s="75"/>
      <c r="R8" s="74">
        <f t="shared" si="4"/>
        <v>0</v>
      </c>
      <c r="S8" s="74">
        <f t="shared" si="5"/>
        <v>0</v>
      </c>
    </row>
    <row r="9" spans="1:19" ht="15.75">
      <c r="A9" s="74"/>
      <c r="B9" s="83"/>
      <c r="C9" s="74"/>
      <c r="D9" s="74"/>
      <c r="E9" s="74">
        <f t="shared" si="0"/>
        <v>0</v>
      </c>
      <c r="F9" s="74"/>
      <c r="G9" s="74"/>
      <c r="H9" s="74">
        <f t="shared" si="1"/>
        <v>0</v>
      </c>
      <c r="I9" s="75">
        <f t="shared" si="2"/>
        <v>0</v>
      </c>
      <c r="J9" s="74"/>
      <c r="K9" s="74"/>
      <c r="L9" s="74"/>
      <c r="M9" s="74">
        <f t="shared" si="3"/>
        <v>0</v>
      </c>
      <c r="N9" s="74"/>
      <c r="O9" s="74"/>
      <c r="P9" s="74"/>
      <c r="Q9" s="74"/>
      <c r="R9" s="74">
        <f t="shared" si="4"/>
        <v>0</v>
      </c>
      <c r="S9" s="74">
        <f t="shared" si="5"/>
        <v>0</v>
      </c>
    </row>
    <row r="10" spans="1:19" ht="15.75">
      <c r="A10" s="74"/>
      <c r="B10" s="83"/>
      <c r="C10" s="74"/>
      <c r="D10" s="74"/>
      <c r="E10" s="74">
        <f t="shared" si="0"/>
        <v>0</v>
      </c>
      <c r="F10" s="74"/>
      <c r="G10" s="74"/>
      <c r="H10" s="74">
        <f t="shared" si="1"/>
        <v>0</v>
      </c>
      <c r="I10" s="75">
        <f t="shared" si="2"/>
        <v>0</v>
      </c>
      <c r="J10" s="74"/>
      <c r="K10" s="74"/>
      <c r="L10" s="74"/>
      <c r="M10" s="74">
        <f t="shared" si="3"/>
        <v>0</v>
      </c>
      <c r="N10" s="74"/>
      <c r="O10" s="74"/>
      <c r="P10" s="76"/>
      <c r="Q10" s="76"/>
      <c r="R10" s="74">
        <f t="shared" si="4"/>
        <v>0</v>
      </c>
      <c r="S10" s="74">
        <f t="shared" si="5"/>
        <v>0</v>
      </c>
    </row>
    <row r="11" spans="1:19" ht="16.5" thickBot="1">
      <c r="A11" s="74"/>
      <c r="B11" s="83"/>
      <c r="C11" s="74"/>
      <c r="D11" s="74"/>
      <c r="E11" s="74">
        <f t="shared" si="0"/>
        <v>0</v>
      </c>
      <c r="F11" s="74"/>
      <c r="G11" s="74"/>
      <c r="H11" s="74">
        <f t="shared" si="1"/>
        <v>0</v>
      </c>
      <c r="I11" s="75">
        <f t="shared" si="2"/>
        <v>0</v>
      </c>
      <c r="J11" s="74"/>
      <c r="K11" s="74"/>
      <c r="L11" s="74"/>
      <c r="M11" s="74">
        <f t="shared" si="3"/>
        <v>0</v>
      </c>
      <c r="N11" s="74"/>
      <c r="O11" s="74"/>
      <c r="P11" s="76"/>
      <c r="Q11" s="76"/>
      <c r="R11" s="74">
        <f t="shared" si="4"/>
        <v>0</v>
      </c>
      <c r="S11" s="74">
        <f t="shared" si="5"/>
        <v>0</v>
      </c>
    </row>
    <row r="12" spans="1:19" ht="16.5" thickBot="1">
      <c r="A12" s="85" t="s">
        <v>102</v>
      </c>
      <c r="B12" s="86"/>
      <c r="C12" s="87">
        <f>SUM(C6:C11)</f>
        <v>326891.89</v>
      </c>
      <c r="D12" s="87">
        <f aca="true" t="shared" si="6" ref="D12:R12">SUM(D6:D11)</f>
        <v>14887.68</v>
      </c>
      <c r="E12" s="87">
        <f t="shared" si="6"/>
        <v>341779.57</v>
      </c>
      <c r="F12" s="87">
        <f t="shared" si="6"/>
        <v>356813.98</v>
      </c>
      <c r="G12" s="87">
        <f t="shared" si="6"/>
        <v>15922.71</v>
      </c>
      <c r="H12" s="87">
        <f t="shared" si="6"/>
        <v>372736.69</v>
      </c>
      <c r="I12" s="87">
        <f t="shared" si="6"/>
        <v>-30957.119999999995</v>
      </c>
      <c r="J12" s="87">
        <f t="shared" si="6"/>
        <v>0</v>
      </c>
      <c r="K12" s="87">
        <f t="shared" si="6"/>
        <v>0</v>
      </c>
      <c r="L12" s="87">
        <f t="shared" si="6"/>
        <v>0</v>
      </c>
      <c r="M12" s="87">
        <f t="shared" si="6"/>
        <v>372736.69</v>
      </c>
      <c r="N12" s="87">
        <f t="shared" si="6"/>
        <v>35050.4</v>
      </c>
      <c r="O12" s="87">
        <f t="shared" si="6"/>
        <v>264424.84</v>
      </c>
      <c r="P12" s="87">
        <f t="shared" si="6"/>
        <v>52434</v>
      </c>
      <c r="Q12" s="87">
        <f t="shared" si="6"/>
        <v>0</v>
      </c>
      <c r="R12" s="87">
        <f t="shared" si="6"/>
        <v>351909.24000000005</v>
      </c>
      <c r="S12" s="87">
        <f>SUM(S6:S11)+A6</f>
        <v>-216150.26000000004</v>
      </c>
    </row>
    <row r="14" spans="2:9" ht="18.75">
      <c r="B14" s="238" t="s">
        <v>165</v>
      </c>
      <c r="C14" s="238"/>
      <c r="D14" s="238"/>
      <c r="E14" s="238"/>
      <c r="F14" s="238" t="s">
        <v>166</v>
      </c>
      <c r="G14" s="238"/>
      <c r="H14" s="238"/>
      <c r="I14" s="238"/>
    </row>
    <row r="15" spans="2:9" ht="18.75">
      <c r="B15" s="163"/>
      <c r="C15" s="163"/>
      <c r="D15" s="163"/>
      <c r="E15" s="163"/>
      <c r="F15" s="163"/>
      <c r="G15" s="163"/>
      <c r="H15" s="163"/>
      <c r="I15" s="163"/>
    </row>
    <row r="16" spans="2:9" ht="18.75">
      <c r="B16" s="164" t="s">
        <v>159</v>
      </c>
      <c r="C16" s="165"/>
      <c r="D16" s="165"/>
      <c r="E16" s="165"/>
      <c r="F16" s="238" t="s">
        <v>167</v>
      </c>
      <c r="G16" s="238"/>
      <c r="H16" s="238"/>
      <c r="I16" s="165"/>
    </row>
  </sheetData>
  <sheetProtection/>
  <mergeCells count="22">
    <mergeCell ref="A1:S1"/>
    <mergeCell ref="J2:L2"/>
    <mergeCell ref="M2:M4"/>
    <mergeCell ref="N2:R2"/>
    <mergeCell ref="S2:S4"/>
    <mergeCell ref="O3:O4"/>
    <mergeCell ref="F16:H16"/>
    <mergeCell ref="L3:L4"/>
    <mergeCell ref="N3:N4"/>
    <mergeCell ref="R3:R4"/>
    <mergeCell ref="K3:K4"/>
    <mergeCell ref="I3:I4"/>
    <mergeCell ref="J3:J4"/>
    <mergeCell ref="P3:P4"/>
    <mergeCell ref="Q3:Q4"/>
    <mergeCell ref="B14:E14"/>
    <mergeCell ref="F14:I14"/>
    <mergeCell ref="A2:A4"/>
    <mergeCell ref="B2:B4"/>
    <mergeCell ref="C2:I2"/>
    <mergeCell ref="C3:E3"/>
    <mergeCell ref="F3:H3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2013-02-18T06:14:32Z</cp:lastPrinted>
  <dcterms:created xsi:type="dcterms:W3CDTF">2009-08-26T03:25:10Z</dcterms:created>
  <dcterms:modified xsi:type="dcterms:W3CDTF">2013-05-08T04:06:31Z</dcterms:modified>
  <cp:category/>
  <cp:version/>
  <cp:contentType/>
  <cp:contentStatus/>
</cp:coreProperties>
</file>