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8" activeTab="8"/>
  </bookViews>
  <sheets>
    <sheet name="2008" sheetId="1" r:id="rId1"/>
    <sheet name="отчет 2009" sheetId="2" state="hidden" r:id="rId2"/>
    <sheet name="отчет 2010" sheetId="3" state="hidden" r:id="rId3"/>
    <sheet name="план 2011" sheetId="4" state="hidden" r:id="rId4"/>
    <sheet name="отчет 2011" sheetId="5" state="hidden" r:id="rId5"/>
    <sheet name="план 2012" sheetId="6" state="hidden" r:id="rId6"/>
    <sheet name="отчет 8 мес" sheetId="7" state="hidden" r:id="rId7"/>
    <sheet name="08.12" sheetId="8" state="hidden" r:id="rId8"/>
    <sheet name="отчет 2012(01-07)" sheetId="9" r:id="rId9"/>
    <sheet name="накопит отчет" sheetId="10" state="hidden" r:id="rId10"/>
  </sheets>
  <definedNames>
    <definedName name="_xlnm.Print_Area" localSheetId="1">'отчет 2009'!$A$1:$H$42</definedName>
    <definedName name="_xlnm.Print_Area" localSheetId="2">'отчет 2010'!$A$1:$J$44</definedName>
    <definedName name="_xlnm.Print_Area" localSheetId="4">'отчет 2011'!$A$1:$J$45</definedName>
    <definedName name="_xlnm.Print_Area" localSheetId="3">'план 2011'!$A$1:$H$35</definedName>
    <definedName name="_xlnm.Print_Area" localSheetId="5">'план 2012'!$A$1:$H$42</definedName>
  </definedNames>
  <calcPr fullCalcOnLoad="1"/>
</workbook>
</file>

<file path=xl/sharedStrings.xml><?xml version="1.0" encoding="utf-8"?>
<sst xmlns="http://schemas.openxmlformats.org/spreadsheetml/2006/main" count="844" uniqueCount="268">
  <si>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</si>
  <si>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</si>
  <si>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</si>
  <si>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</si>
  <si>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</si>
  <si>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</si>
  <si>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</si>
  <si>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</si>
  <si>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</si>
  <si>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</si>
  <si>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</si>
  <si>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</si>
  <si>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</si>
  <si>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</si>
  <si>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</si>
  <si>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</si>
  <si>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</si>
  <si>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</si>
  <si>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</si>
  <si>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</si>
  <si>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</si>
  <si>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</si>
  <si>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</si>
  <si>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</si>
  <si>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</si>
  <si>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</si>
  <si>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</si>
  <si>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</si>
  <si>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</si>
  <si>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</si>
  <si>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</si>
  <si>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</si>
  <si>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</si>
  <si>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</si>
  <si>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</si>
  <si>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</si>
  <si>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</si>
  <si>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</si>
  <si>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</si>
  <si>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</si>
  <si>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</si>
  <si>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</si>
  <si>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</si>
  <si>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</si>
  <si>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</si>
  <si>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</si>
  <si>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</si>
  <si>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</si>
  <si>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</si>
  <si>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</si>
  <si>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</si>
  <si>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</si>
  <si>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</si>
  <si>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</si>
  <si>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</si>
  <si>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</si>
  <si>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</si>
  <si>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</si>
  <si>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</si>
  <si>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</si>
  <si>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</si>
  <si>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</si>
  <si>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</si>
  <si>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</si>
  <si>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</si>
  <si>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</si>
  <si>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</si>
  <si>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</si>
  <si>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</si>
  <si>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</si>
  <si>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</si>
  <si>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</si>
  <si>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</si>
  <si>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</si>
  <si>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</si>
  <si>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</si>
  <si>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</si>
  <si>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Директор</t>
  </si>
  <si>
    <t>ООО "ОЖКС № 5"</t>
  </si>
  <si>
    <t>ООО  "ОЖКС № 5"</t>
  </si>
  <si>
    <t>О.А.Трушкина</t>
  </si>
  <si>
    <t>Старший по дому</t>
  </si>
  <si>
    <t xml:space="preserve">        Представитель собственников - старший по дому Цымбалюк Н.Я., с одной стороны и Общество с Ограниченной 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в  2009г.      </t>
  </si>
  <si>
    <t>Адрес: Беляева, 7</t>
  </si>
  <si>
    <t>Н.Я. Цымбалюк</t>
  </si>
  <si>
    <t>Противопожарные мероприятия:  содержание и обслуживание вентканалов и шахт</t>
  </si>
  <si>
    <t>Претензий по управлению нет (да)</t>
  </si>
  <si>
    <t>ОТЧЕТ
о выполненных работах в 2008 году по договору управления МКД 
№ 213 от 28.03.2008 г., заключенного между ООО "ОЖКС №5" и собственниками многоквартирного дома
по адресу:  ул. Беляева, 7</t>
  </si>
  <si>
    <t xml:space="preserve">        Представитель собственников  - старший по дому Цымбалюк Н.Я., с одной стороны и Общество с Ограниченной Ответственностью "Октябрьский Жилкомсервис № 5" в лице директора Трушкиной О.А.,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</si>
  <si>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</si>
  <si>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</si>
  <si>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</si>
  <si>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</si>
  <si>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</si>
  <si>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</si>
  <si>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</si>
  <si>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</si>
  <si>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</si>
  <si>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</si>
  <si>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</si>
  <si>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</si>
  <si>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Количество зарегистрированных на 01.01.09г.</t>
  </si>
  <si>
    <t>чел.</t>
  </si>
  <si>
    <t>из них:</t>
  </si>
  <si>
    <t xml:space="preserve"> - собственников</t>
  </si>
  <si>
    <t xml:space="preserve"> - нанимателей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</si>
  <si>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</si>
  <si>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</si>
  <si>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</si>
  <si>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</si>
  <si>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</si>
  <si>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</si>
  <si>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</si>
  <si>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</si>
  <si>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</si>
  <si>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</si>
  <si>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</si>
  <si>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</si>
  <si>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</si>
  <si>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</si>
  <si>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</si>
  <si>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</si>
  <si>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</si>
  <si>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</si>
  <si>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</si>
  <si>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</si>
  <si>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</si>
  <si>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</si>
  <si>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</si>
  <si>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</si>
  <si>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</si>
  <si>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5"                                               О.А.Трушкина                                      </t>
  </si>
  <si>
    <t>Принято:</t>
  </si>
  <si>
    <t>Старший по дому                                                                  Н.Я. Цымбалюк</t>
  </si>
  <si>
    <t>Претензий по управлению нет.</t>
  </si>
  <si>
    <t>с кап.рем.</t>
  </si>
  <si>
    <t>без кап.рем.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</si>
  <si>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</si>
  <si>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</si>
  <si>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</si>
  <si>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</si>
  <si>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</si>
  <si>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2.1.</t>
  </si>
  <si>
    <t>2.2.</t>
  </si>
  <si>
    <t>2.3.</t>
  </si>
  <si>
    <t xml:space="preserve">S нежилых </t>
  </si>
  <si>
    <t xml:space="preserve">помещений, </t>
  </si>
  <si>
    <t xml:space="preserve"> </t>
  </si>
  <si>
    <t>Виды услуг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</si>
  <si>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</si>
  <si>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</si>
  <si>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</si>
  <si>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</si>
  <si>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</si>
  <si>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</si>
  <si>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</si>
  <si>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</si>
  <si>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</si>
  <si>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</si>
  <si>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</si>
  <si>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</si>
  <si>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</si>
  <si>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</si>
  <si>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</si>
  <si>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</si>
  <si>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</si>
  <si>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</si>
  <si>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</si>
  <si>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</si>
  <si>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</si>
  <si>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</si>
  <si>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</si>
  <si>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</si>
  <si>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>2008г</t>
  </si>
  <si>
    <t>2009г</t>
  </si>
  <si>
    <t>2010г</t>
  </si>
  <si>
    <t>2011г</t>
  </si>
  <si>
    <t xml:space="preserve"> - ожидаемый сбор на содержание и текущий ремонт общего имущества жилого дома</t>
  </si>
  <si>
    <t>ООО "ОЖКС № 6"</t>
  </si>
  <si>
    <t>Обслуживание  бойлеров</t>
  </si>
  <si>
    <t xml:space="preserve"> Текущий ремонт общего имущества  (см. приложение)</t>
  </si>
  <si>
    <t>ООО  "ОЖКС № 6"</t>
  </si>
  <si>
    <t>Всего затрат:</t>
  </si>
  <si>
    <t>Капитальный ремонт  (см. приложение)</t>
  </si>
  <si>
    <t>ОТЧЕТ
по договору управления МКД № 213/5 от 28.03.2008 г., 
заключенного между ООО "ОЖКС № 5" и собственниками многоквартирного дома по адресу:  ул. Беляева, 7</t>
  </si>
  <si>
    <t>Сумма в год, руб.</t>
  </si>
  <si>
    <t>население</t>
  </si>
  <si>
    <t>арендаторы</t>
  </si>
  <si>
    <t>всего</t>
  </si>
  <si>
    <t xml:space="preserve"> - прочие доходы (антены)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</si>
  <si>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 xml:space="preserve">мусоропроводов </t>
    </r>
  </si>
  <si>
    <t>Обслуживание домофонов</t>
  </si>
  <si>
    <t>Обслуживание приборов учета</t>
  </si>
  <si>
    <t>ОТЧЕТ
за  2010 г. о выполненнии условий  договора управления МКД № 213/5 от 28.03.2008 г., 
заключенного между ООО "ОЖКС № 5" и собственниками многоквартирного дома
по адресу:  ул. Беляева, 7</t>
  </si>
  <si>
    <t xml:space="preserve">        Представитель собственников - старший по дому Цымбалюк Н.Я., с одной стороны и Общество с Ограниченной 
Ответственностью "Октябрьский Жилкомсервис № 5" в лице директора Трушкиной О.А., действующей на основании 
Устава,  с другой стороны, составили настоящий отчет о выполненных работах  в  2010г.      </t>
  </si>
  <si>
    <t>2013г</t>
  </si>
  <si>
    <t>Тариф на 
1 кв.м.
руб.</t>
  </si>
  <si>
    <t xml:space="preserve">Директор ООО "ОЖКС № 5"                                               О.А. Трушкина                        </t>
  </si>
  <si>
    <t>ОТЧЕТ
за  2009 г. о выполненнии условий  договора управления МКД № 213/5 от 28.03.2008 г., 
заключенного между ООО "ОЖКС № 5" и собственниками многоквартирного дома
по адресу:  ул. Беляева, 7</t>
  </si>
  <si>
    <t>взаимоотношения с населением по утвержденному тарифу, руб.</t>
  </si>
  <si>
    <t>прочие доходы, руб.</t>
  </si>
  <si>
    <t>ИТОГО
ДОХОДОВ</t>
  </si>
  <si>
    <r>
      <t xml:space="preserve">результат
 </t>
    </r>
    <r>
      <rPr>
        <b/>
        <sz val="11"/>
        <color indexed="10"/>
        <rFont val="Times New Roman"/>
        <family val="1"/>
      </rPr>
      <t>за год</t>
    </r>
    <r>
      <rPr>
        <b/>
        <sz val="11"/>
        <rFont val="Times New Roman"/>
        <family val="1"/>
      </rPr>
      <t xml:space="preserve">
(+эконом., 
-перерасх.)</t>
    </r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</si>
  <si>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</si>
  <si>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</si>
  <si>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</si>
  <si>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</si>
  <si>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</si>
  <si>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</si>
  <si>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</si>
  <si>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</si>
  <si>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</si>
  <si>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</si>
  <si>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>Итого</t>
  </si>
  <si>
    <t>Смета доходов и расходов на 2011 г
согласно  договора управления МКД № 213/5 от 28.03.2008 г., 
заключенного между ООО "ОЖКС № 5" и собственниками многоквартирного дома</t>
  </si>
  <si>
    <t xml:space="preserve">        Представитель собственников - старший по дому Цымбалюк Н.Я., с одной стороны и Общество с Ограниченной 
Ответственностью "Октябрьский Жилкомсервис № 5" в лице директора Трушкиной О.А., действующей на основании 
Устава,  с другой стороны, составили настоящий отчет о выполненных работах  в  2011г.      </t>
  </si>
  <si>
    <t>ОТЧЕТ
за  2011 г. о выполнении условий  договора управления МКД № 213/5 от 28.03.2008 г., 
заключенного между ООО "ОЖКС № 5" и собственниками многоквартирного дома
по адресу:  ул. Беляева, 7</t>
  </si>
  <si>
    <r>
      <t xml:space="preserve">Сбор, вывоз  бытового мусора, содержание  </t>
    </r>
    <r>
      <rPr>
        <sz val="12"/>
        <rFont val="Times New Roman"/>
        <family val="1"/>
      </rPr>
      <t>мусоропроводов</t>
    </r>
    <r>
      <rPr>
        <sz val="12"/>
        <color indexed="10"/>
        <rFont val="Times New Roman"/>
        <family val="1"/>
      </rPr>
      <t xml:space="preserve"> </t>
    </r>
  </si>
  <si>
    <t xml:space="preserve">Финансовый результат за 2011г. (+ экономия,- перерасход)                                                      </t>
  </si>
  <si>
    <t>Содержание вахтеров</t>
  </si>
  <si>
    <t xml:space="preserve">Капитальный ремонт    </t>
  </si>
  <si>
    <t>Содержание вахтеров (439231,3 руб.) в 2012 г. будет осуществляться за счет экономии денежных 
средств.</t>
  </si>
  <si>
    <t>Справочно:    индекс увеличения тарифа по году 103%</t>
  </si>
  <si>
    <t>Смета доходов и расходов на 2012 г
согласно  договора управления МКД № 213/5 от 28.03.2008 г., 
заключенного между ООО "ОЖКС № 5" и собственниками 
многоквартирного дома</t>
  </si>
  <si>
    <t>- с 1 января 2012 г. тариф остается на уровне 2011 г. - 14,49 руб.</t>
  </si>
  <si>
    <t>- с 1 июля 2012г.к тарифу применен индекс 106% - 15,36 руб.</t>
  </si>
  <si>
    <t xml:space="preserve"> Текущий ремонт общего имущества  </t>
  </si>
  <si>
    <t>по плану работ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</si>
  <si>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</si>
  <si>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</si>
  <si>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</si>
  <si>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>1.2.</t>
  </si>
  <si>
    <t>1.3.</t>
  </si>
  <si>
    <t xml:space="preserve">Директор ООО "ОЖКС № 5"                                                                       </t>
  </si>
  <si>
    <t>________________ О.А. Трушкина</t>
  </si>
  <si>
    <t xml:space="preserve">       Представитель Собственников</t>
  </si>
  <si>
    <t xml:space="preserve">        ________________________</t>
  </si>
  <si>
    <t>подметание асфальта -   1 раз/неделю,                
подбор мусора - ежедневно</t>
  </si>
  <si>
    <t>* в случае уточнения площадей возможно изменение стоимости</t>
  </si>
  <si>
    <t>Тариф с 1 августа 2012 г. - 15,36 руб., капитальный ремонт - 0,80 руб.</t>
  </si>
  <si>
    <t>Тариф 
на 
1 кв.м. август-декабрь 2012г.
руб.</t>
  </si>
  <si>
    <t>Стоимость работ
август-декабрь 2012г.                      руб.</t>
  </si>
  <si>
    <t>5=гр.4*Sдома*5мес.</t>
  </si>
  <si>
    <t xml:space="preserve">Сбор, вывоз  бытового мусора, содержание  мусоропроводов </t>
  </si>
  <si>
    <t>8мес.</t>
  </si>
  <si>
    <t>Содержание вахтеров будет осуществляться по решению общего собрания собственников.</t>
  </si>
  <si>
    <t>S жилых и нежилых помещений, кв.м</t>
  </si>
  <si>
    <t>Тариф 01.01.12г-31.06.12г</t>
  </si>
  <si>
    <t>кол-во мес. по дог. управления</t>
  </si>
  <si>
    <t xml:space="preserve"> - прочие доходы </t>
  </si>
  <si>
    <t>Сбор, вывоз бытового мусора</t>
  </si>
  <si>
    <t>1 раз/неделю-подметание, 1 раз/месяц-влажная уборка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</si>
  <si>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</si>
  <si>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 Текущий ремонт общего имущества </t>
  </si>
  <si>
    <t xml:space="preserve">Капитальный ремонт </t>
  </si>
  <si>
    <t xml:space="preserve">Принято: Старший по дому                                                  </t>
  </si>
  <si>
    <t>В.П. Славгородская</t>
  </si>
  <si>
    <t>Тариф 01.07.12г.-31.07.12г.</t>
  </si>
  <si>
    <t>Сумма с 01.01.12г.-31.07.12г., руб.</t>
  </si>
  <si>
    <t>ОТЧЕТ
с 01.01.2012г. по 31.07.2012г. о выполнении условий  договора управления МКД № 213/5 от 28.03.2008 г., 
заключенного между ООО "ОЖКС № 5" и собственниками многоквартирного дома
по адресу:  ул. Беляева, 7</t>
  </si>
  <si>
    <t xml:space="preserve">Финансовый результат за с 01.01.12 г по 31.07.12г (+ экономия,- перерасход)                                                      </t>
  </si>
  <si>
    <t>за 7 мес. 2012г</t>
  </si>
  <si>
    <t xml:space="preserve">Директор ООО "ОЖКС № 5"                                 </t>
  </si>
  <si>
    <t xml:space="preserve">____________ О.А. Трушкина                              </t>
  </si>
  <si>
    <t xml:space="preserve">Финансовый результат </t>
  </si>
  <si>
    <t>по договору управления подтверждаю:</t>
  </si>
  <si>
    <t>_______________/___________/</t>
  </si>
  <si>
    <t xml:space="preserve">        Представитель собственников -______________________, с одной стороны и Общество с Ограниченной 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с 01.01.2012 г по 31.07.2012г.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</si>
</sst>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0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0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/>
    </xf>
    <xf numFmtId="164" fontId="2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16" fontId="2" fillId="0" borderId="11" xfId="0" applyNumberFormat="1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0" fontId="2" fillId="0" borderId="27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2" fontId="2" fillId="25" borderId="10" xfId="0" applyNumberFormat="1" applyFont="1" applyFill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3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2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4" fillId="0" borderId="3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7">
      <selection activeCell="D29" sqref="D29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1.875" style="0" customWidth="1"/>
    <col min="5" max="5" width="12.50390625" style="0" customWidth="1"/>
  </cols>
  <sheetData>
    <row r="1" spans="1:5" ht="104.25" customHeight="1">
      <c r="A1" s="218" t="s">
        <v>87</v>
      </c>
      <c r="B1" s="218"/>
      <c r="C1" s="218"/>
      <c r="D1" s="218"/>
      <c r="E1" s="218"/>
    </row>
    <row r="2" spans="1:5" ht="67.5" customHeight="1">
      <c r="A2" s="219" t="s">
        <v>88</v>
      </c>
      <c r="B2" s="219"/>
      <c r="C2" s="219"/>
      <c r="D2" s="219"/>
      <c r="E2" s="219"/>
    </row>
    <row r="3" spans="1:5" ht="20.25" customHeight="1">
      <c r="A3" s="23" t="s">
        <v>89</v>
      </c>
      <c r="B3" s="23" t="s">
        <v>90</v>
      </c>
      <c r="C3" s="11" t="s">
        <v>91</v>
      </c>
      <c r="D3" s="23" t="s">
        <v>135</v>
      </c>
      <c r="E3" s="23" t="s">
        <v>136</v>
      </c>
    </row>
    <row r="4" spans="1:5" ht="18.75" customHeight="1">
      <c r="A4" s="45" t="s">
        <v>92</v>
      </c>
      <c r="B4" s="46" t="s">
        <v>93</v>
      </c>
      <c r="C4" s="11" t="s">
        <v>94</v>
      </c>
      <c r="D4" s="47">
        <v>9</v>
      </c>
      <c r="E4" s="47">
        <v>9</v>
      </c>
    </row>
    <row r="5" spans="1:5" ht="15.75">
      <c r="A5" s="48" t="s">
        <v>95</v>
      </c>
      <c r="B5" s="49" t="s">
        <v>96</v>
      </c>
      <c r="C5" s="50" t="s">
        <v>97</v>
      </c>
      <c r="D5" s="51">
        <v>4668.7</v>
      </c>
      <c r="E5" s="51">
        <v>4668.7</v>
      </c>
    </row>
    <row r="6" spans="1:5" ht="14.25" customHeight="1">
      <c r="A6" s="48" t="s">
        <v>98</v>
      </c>
      <c r="B6" s="49" t="s">
        <v>99</v>
      </c>
      <c r="C6" s="50" t="s">
        <v>94</v>
      </c>
      <c r="D6" s="52">
        <v>144</v>
      </c>
      <c r="E6" s="52">
        <v>144</v>
      </c>
    </row>
    <row r="7" spans="1:5" ht="15.75" hidden="1">
      <c r="A7" s="48" t="s">
        <v>100</v>
      </c>
      <c r="B7" s="49" t="s">
        <v>101</v>
      </c>
      <c r="C7" s="50" t="s">
        <v>102</v>
      </c>
      <c r="D7" s="51"/>
      <c r="E7" s="51"/>
    </row>
    <row r="8" spans="1:5" ht="15.75" hidden="1">
      <c r="A8" s="53"/>
      <c r="B8" s="54" t="s">
        <v>103</v>
      </c>
      <c r="C8" s="44"/>
      <c r="D8" s="51"/>
      <c r="E8" s="51"/>
    </row>
    <row r="9" spans="1:5" ht="15.75" hidden="1">
      <c r="A9" s="53"/>
      <c r="B9" s="54" t="s">
        <v>104</v>
      </c>
      <c r="C9" s="44" t="s">
        <v>102</v>
      </c>
      <c r="D9" s="51"/>
      <c r="E9" s="51"/>
    </row>
    <row r="10" spans="1:5" ht="15.75" hidden="1">
      <c r="A10" s="53"/>
      <c r="B10" s="54" t="s">
        <v>105</v>
      </c>
      <c r="C10" s="44" t="s">
        <v>102</v>
      </c>
      <c r="D10" s="51"/>
      <c r="E10" s="51"/>
    </row>
    <row r="11" spans="1:5" ht="16.5" customHeight="1">
      <c r="A11" s="48" t="s">
        <v>100</v>
      </c>
      <c r="B11" s="49" t="s">
        <v>106</v>
      </c>
      <c r="C11" s="44"/>
      <c r="D11" s="51"/>
      <c r="E11" s="51"/>
    </row>
    <row r="12" spans="1:5" ht="15.75">
      <c r="A12" s="55" t="s">
        <v>107</v>
      </c>
      <c r="B12" s="49" t="s">
        <v>108</v>
      </c>
      <c r="C12" s="44"/>
      <c r="D12" s="51"/>
      <c r="E12" s="51"/>
    </row>
    <row r="13" spans="1:5" ht="17.25" customHeight="1">
      <c r="A13" s="56"/>
      <c r="B13" s="54" t="s">
        <v>109</v>
      </c>
      <c r="C13" s="44" t="s">
        <v>110</v>
      </c>
      <c r="D13" s="51">
        <v>448868.17</v>
      </c>
      <c r="E13" s="51">
        <v>448868.17</v>
      </c>
    </row>
    <row r="14" spans="1:5" ht="16.5" customHeight="1">
      <c r="A14" s="56"/>
      <c r="B14" s="54" t="s">
        <v>111</v>
      </c>
      <c r="C14" s="44" t="s">
        <v>110</v>
      </c>
      <c r="D14" s="51">
        <v>442019.04</v>
      </c>
      <c r="E14" s="51">
        <v>442019.04</v>
      </c>
    </row>
    <row r="15" spans="1:5" ht="15.75">
      <c r="A15" s="56"/>
      <c r="B15" s="49" t="s">
        <v>112</v>
      </c>
      <c r="C15" s="50" t="s">
        <v>110</v>
      </c>
      <c r="D15" s="57">
        <f>D13-D14</f>
        <v>6849.130000000005</v>
      </c>
      <c r="E15" s="57">
        <f>E13-E14</f>
        <v>6849.130000000005</v>
      </c>
    </row>
    <row r="16" spans="1:5" ht="18" customHeight="1">
      <c r="A16" s="55" t="s">
        <v>113</v>
      </c>
      <c r="B16" s="49" t="s">
        <v>114</v>
      </c>
      <c r="C16" s="44"/>
      <c r="D16" s="51"/>
      <c r="E16" s="51"/>
    </row>
    <row r="17" spans="1:5" ht="15.75">
      <c r="A17" s="56"/>
      <c r="B17" s="54" t="s">
        <v>109</v>
      </c>
      <c r="C17" s="44" t="s">
        <v>110</v>
      </c>
      <c r="D17" s="51">
        <v>24032.14</v>
      </c>
      <c r="E17" s="51">
        <v>0</v>
      </c>
    </row>
    <row r="18" spans="1:5" ht="15.75" customHeight="1">
      <c r="A18" s="56"/>
      <c r="B18" s="54" t="s">
        <v>111</v>
      </c>
      <c r="C18" s="44" t="s">
        <v>110</v>
      </c>
      <c r="D18" s="51">
        <v>23640.51</v>
      </c>
      <c r="E18" s="51">
        <v>0</v>
      </c>
    </row>
    <row r="19" spans="1:5" ht="15.75" customHeight="1">
      <c r="A19" s="56"/>
      <c r="B19" s="49" t="s">
        <v>112</v>
      </c>
      <c r="C19" s="50" t="s">
        <v>110</v>
      </c>
      <c r="D19" s="57">
        <f>D17-D18</f>
        <v>391.630000000001</v>
      </c>
      <c r="E19" s="57">
        <f>E17-E18</f>
        <v>0</v>
      </c>
    </row>
    <row r="20" spans="1:5" ht="15" customHeight="1">
      <c r="A20" s="56"/>
      <c r="B20" s="49" t="s">
        <v>115</v>
      </c>
      <c r="C20" s="44" t="s">
        <v>110</v>
      </c>
      <c r="D20" s="57">
        <f>D13+D17</f>
        <v>472900.31</v>
      </c>
      <c r="E20" s="57">
        <f>E13+E17</f>
        <v>448868.17</v>
      </c>
    </row>
    <row r="21" spans="1:5" ht="15.75">
      <c r="A21" s="56"/>
      <c r="B21" s="49" t="s">
        <v>116</v>
      </c>
      <c r="C21" s="44" t="s">
        <v>110</v>
      </c>
      <c r="D21" s="57">
        <f>D15+D19</f>
        <v>7240.760000000006</v>
      </c>
      <c r="E21" s="57">
        <f>E15+E19</f>
        <v>6849.130000000005</v>
      </c>
    </row>
    <row r="22" spans="1:5" ht="15.75" customHeight="1">
      <c r="A22" s="48" t="s">
        <v>117</v>
      </c>
      <c r="B22" s="58" t="s">
        <v>118</v>
      </c>
      <c r="C22" s="44"/>
      <c r="D22" s="51"/>
      <c r="E22" s="51"/>
    </row>
    <row r="23" spans="1:5" ht="94.5">
      <c r="A23" s="59" t="s">
        <v>119</v>
      </c>
      <c r="B23" s="60" t="s">
        <v>120</v>
      </c>
      <c r="C23" s="50" t="s">
        <v>110</v>
      </c>
      <c r="D23" s="57">
        <f>D13*0.11</f>
        <v>49375.4987</v>
      </c>
      <c r="E23" s="57">
        <f>E13*0.11</f>
        <v>49375.4987</v>
      </c>
    </row>
    <row r="24" spans="1:5" ht="94.5" customHeight="1">
      <c r="A24" s="59" t="s">
        <v>121</v>
      </c>
      <c r="B24" s="60" t="s">
        <v>122</v>
      </c>
      <c r="C24" s="50" t="s">
        <v>110</v>
      </c>
      <c r="D24" s="57">
        <f>D13*0.7</f>
        <v>314207.719</v>
      </c>
      <c r="E24" s="57">
        <f>E13*0.7</f>
        <v>314207.719</v>
      </c>
    </row>
    <row r="25" spans="1:5" ht="21" customHeight="1">
      <c r="A25" s="59" t="s">
        <v>123</v>
      </c>
      <c r="B25" s="49" t="s">
        <v>124</v>
      </c>
      <c r="C25" s="50" t="s">
        <v>110</v>
      </c>
      <c r="D25" s="61">
        <v>155190</v>
      </c>
      <c r="E25" s="61">
        <v>155190</v>
      </c>
    </row>
    <row r="26" spans="1:5" ht="18" customHeight="1">
      <c r="A26" s="59" t="s">
        <v>125</v>
      </c>
      <c r="B26" s="49" t="s">
        <v>126</v>
      </c>
      <c r="C26" s="50" t="s">
        <v>110</v>
      </c>
      <c r="D26" s="61">
        <v>0</v>
      </c>
      <c r="E26" s="61">
        <v>0</v>
      </c>
    </row>
    <row r="27" spans="1:5" ht="17.25" customHeight="1">
      <c r="A27" s="56"/>
      <c r="B27" s="49" t="s">
        <v>127</v>
      </c>
      <c r="C27" s="50" t="s">
        <v>110</v>
      </c>
      <c r="D27" s="57">
        <f>D23+D24+D25+D26</f>
        <v>518773.2177</v>
      </c>
      <c r="E27" s="57">
        <f>E23+E24+E25+E26</f>
        <v>518773.2177</v>
      </c>
    </row>
    <row r="28" spans="1:5" ht="17.25" customHeight="1">
      <c r="A28" s="55" t="s">
        <v>61</v>
      </c>
      <c r="B28" s="49" t="s">
        <v>128</v>
      </c>
      <c r="C28" s="44" t="s">
        <v>110</v>
      </c>
      <c r="D28" s="51">
        <f>D20-D27</f>
        <v>-45872.90769999998</v>
      </c>
      <c r="E28" s="51">
        <f>E20-E27</f>
        <v>-69905.0477</v>
      </c>
    </row>
    <row r="29" spans="1:5" ht="31.5">
      <c r="A29" s="59" t="s">
        <v>129</v>
      </c>
      <c r="B29" s="60" t="s">
        <v>130</v>
      </c>
      <c r="C29" s="44" t="s">
        <v>110</v>
      </c>
      <c r="D29" s="51">
        <f>D28-D21</f>
        <v>-53113.66769999999</v>
      </c>
      <c r="E29" s="51">
        <f>E28-E21</f>
        <v>-76754.1777</v>
      </c>
    </row>
    <row r="30" spans="1:4" ht="15.75">
      <c r="A30" s="62"/>
      <c r="B30" s="63"/>
      <c r="C30" s="64"/>
      <c r="D30" s="65"/>
    </row>
    <row r="31" spans="1:4" ht="15.75">
      <c r="A31" s="66"/>
      <c r="B31" s="67"/>
      <c r="C31" s="64"/>
      <c r="D31" s="64"/>
    </row>
    <row r="32" spans="2:4" ht="15.75">
      <c r="B32" s="68" t="s">
        <v>131</v>
      </c>
      <c r="C32" s="68"/>
      <c r="D32" s="68"/>
    </row>
    <row r="33" spans="2:4" ht="15.75">
      <c r="B33" s="68"/>
      <c r="C33" s="68"/>
      <c r="D33" s="68"/>
    </row>
    <row r="34" spans="2:4" ht="15.75">
      <c r="B34" s="68"/>
      <c r="C34" s="68"/>
      <c r="D34" s="68"/>
    </row>
    <row r="35" spans="2:4" ht="15.75">
      <c r="B35" s="69" t="s">
        <v>132</v>
      </c>
      <c r="C35" s="69"/>
      <c r="D35" s="69"/>
    </row>
    <row r="36" spans="2:4" ht="15.75">
      <c r="B36" s="220" t="s">
        <v>133</v>
      </c>
      <c r="C36" s="220"/>
      <c r="D36" s="69"/>
    </row>
    <row r="37" spans="2:4" ht="17.25" customHeight="1">
      <c r="B37" s="221" t="s">
        <v>134</v>
      </c>
      <c r="C37" s="221"/>
      <c r="D37" s="221"/>
    </row>
  </sheetData>
  <sheetProtection/>
  <mergeCells count="4">
    <mergeCell ref="A1:E1"/>
    <mergeCell ref="A2:E2"/>
    <mergeCell ref="B36:C36"/>
    <mergeCell ref="B37:D37"/>
  </mergeCells>
  <printOptions/>
  <pageMargins left="0.1968503937007874" right="0" top="0.1968503937007874" bottom="0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K10" sqref="K10"/>
    </sheetView>
  </sheetViews>
  <sheetFormatPr defaultColWidth="9.00390625" defaultRowHeight="15.75"/>
  <cols>
    <col min="1" max="1" width="11.25390625" style="0" customWidth="1"/>
    <col min="2" max="2" width="13.125" style="0" customWidth="1"/>
    <col min="3" max="3" width="11.875" style="0" customWidth="1"/>
    <col min="4" max="4" width="10.625" style="0" customWidth="1"/>
    <col min="5" max="5" width="11.875" style="0" customWidth="1"/>
    <col min="6" max="6" width="12.375" style="0" customWidth="1"/>
    <col min="7" max="7" width="10.875" style="0" customWidth="1"/>
    <col min="8" max="8" width="11.75390625" style="0" customWidth="1"/>
    <col min="9" max="9" width="10.25390625" style="0" customWidth="1"/>
    <col min="10" max="10" width="10.125" style="0" customWidth="1"/>
    <col min="11" max="11" width="10.75390625" style="0" customWidth="1"/>
    <col min="12" max="12" width="9.875" style="0" customWidth="1"/>
    <col min="13" max="13" width="12.125" style="0" customWidth="1"/>
    <col min="14" max="14" width="10.50390625" style="0" customWidth="1"/>
    <col min="15" max="15" width="11.875" style="0" customWidth="1"/>
    <col min="16" max="16" width="10.25390625" style="0" customWidth="1"/>
    <col min="17" max="17" width="8.00390625" style="0" customWidth="1"/>
    <col min="18" max="18" width="11.625" style="0" customWidth="1"/>
    <col min="19" max="19" width="10.375" style="0" customWidth="1"/>
  </cols>
  <sheetData>
    <row r="1" spans="1:19" ht="79.5" customHeight="1">
      <c r="A1" s="296" t="s">
        <v>184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 ht="15.75" customHeight="1">
      <c r="A2" s="303" t="s">
        <v>162</v>
      </c>
      <c r="B2" s="302" t="s">
        <v>163</v>
      </c>
      <c r="C2" s="302" t="s">
        <v>199</v>
      </c>
      <c r="D2" s="302"/>
      <c r="E2" s="302"/>
      <c r="F2" s="302"/>
      <c r="G2" s="302"/>
      <c r="H2" s="302"/>
      <c r="I2" s="302"/>
      <c r="J2" s="305" t="s">
        <v>200</v>
      </c>
      <c r="K2" s="305"/>
      <c r="L2" s="305"/>
      <c r="M2" s="299" t="s">
        <v>201</v>
      </c>
      <c r="N2" s="302" t="s">
        <v>164</v>
      </c>
      <c r="O2" s="302"/>
      <c r="P2" s="302"/>
      <c r="Q2" s="302"/>
      <c r="R2" s="302"/>
      <c r="S2" s="304" t="s">
        <v>202</v>
      </c>
    </row>
    <row r="3" spans="1:19" ht="17.25" customHeight="1">
      <c r="A3" s="302"/>
      <c r="B3" s="302"/>
      <c r="C3" s="308" t="s">
        <v>165</v>
      </c>
      <c r="D3" s="309"/>
      <c r="E3" s="310"/>
      <c r="F3" s="308" t="s">
        <v>166</v>
      </c>
      <c r="G3" s="309"/>
      <c r="H3" s="310"/>
      <c r="I3" s="303" t="s">
        <v>167</v>
      </c>
      <c r="J3" s="297" t="s">
        <v>203</v>
      </c>
      <c r="K3" s="306" t="s">
        <v>204</v>
      </c>
      <c r="L3" s="297" t="s">
        <v>205</v>
      </c>
      <c r="M3" s="300"/>
      <c r="N3" s="303" t="s">
        <v>206</v>
      </c>
      <c r="O3" s="302" t="s">
        <v>168</v>
      </c>
      <c r="P3" s="302" t="s">
        <v>169</v>
      </c>
      <c r="Q3" s="302" t="s">
        <v>170</v>
      </c>
      <c r="R3" s="302" t="s">
        <v>171</v>
      </c>
      <c r="S3" s="304"/>
    </row>
    <row r="4" spans="1:19" ht="39" customHeight="1">
      <c r="A4" s="302"/>
      <c r="B4" s="302"/>
      <c r="C4" s="121" t="s">
        <v>172</v>
      </c>
      <c r="D4" s="122" t="s">
        <v>170</v>
      </c>
      <c r="E4" s="122" t="s">
        <v>171</v>
      </c>
      <c r="F4" s="121" t="s">
        <v>172</v>
      </c>
      <c r="G4" s="122" t="s">
        <v>170</v>
      </c>
      <c r="H4" s="122" t="s">
        <v>171</v>
      </c>
      <c r="I4" s="303"/>
      <c r="J4" s="298"/>
      <c r="K4" s="307"/>
      <c r="L4" s="298"/>
      <c r="M4" s="301"/>
      <c r="N4" s="302"/>
      <c r="O4" s="302"/>
      <c r="P4" s="302"/>
      <c r="Q4" s="302"/>
      <c r="R4" s="302"/>
      <c r="S4" s="304"/>
    </row>
    <row r="5" spans="1:19" ht="34.5" customHeight="1">
      <c r="A5" s="122">
        <v>1</v>
      </c>
      <c r="B5" s="122">
        <v>2</v>
      </c>
      <c r="C5" s="121">
        <v>3</v>
      </c>
      <c r="D5" s="122">
        <v>4</v>
      </c>
      <c r="E5" s="122" t="s">
        <v>207</v>
      </c>
      <c r="F5" s="121">
        <v>6</v>
      </c>
      <c r="G5" s="122">
        <v>7</v>
      </c>
      <c r="H5" s="122" t="s">
        <v>208</v>
      </c>
      <c r="I5" s="121" t="s">
        <v>209</v>
      </c>
      <c r="J5" s="122">
        <v>10</v>
      </c>
      <c r="K5" s="122">
        <v>11</v>
      </c>
      <c r="L5" s="121">
        <v>12</v>
      </c>
      <c r="M5" s="121" t="s">
        <v>210</v>
      </c>
      <c r="N5" s="122">
        <v>14</v>
      </c>
      <c r="O5" s="121">
        <v>15</v>
      </c>
      <c r="P5" s="122">
        <v>16</v>
      </c>
      <c r="Q5" s="122">
        <v>17</v>
      </c>
      <c r="R5" s="121" t="s">
        <v>211</v>
      </c>
      <c r="S5" s="124" t="s">
        <v>212</v>
      </c>
    </row>
    <row r="6" spans="1:19" ht="15.75">
      <c r="A6" s="125"/>
      <c r="B6" s="123" t="s">
        <v>173</v>
      </c>
      <c r="C6" s="125">
        <f>'2008'!D13</f>
        <v>448868.17</v>
      </c>
      <c r="D6" s="125">
        <f>'2008'!D17</f>
        <v>24032.14</v>
      </c>
      <c r="E6" s="125">
        <f>SUM(C6:D6)</f>
        <v>472900.31</v>
      </c>
      <c r="F6" s="125">
        <f>'2008'!D14</f>
        <v>442019.04</v>
      </c>
      <c r="G6" s="125">
        <f>'2008'!D18</f>
        <v>23640.51</v>
      </c>
      <c r="H6" s="125">
        <f>SUM(F6:G6)</f>
        <v>465659.55</v>
      </c>
      <c r="I6" s="126">
        <f>E6-H6</f>
        <v>7240.760000000009</v>
      </c>
      <c r="J6" s="125">
        <v>0</v>
      </c>
      <c r="K6" s="125">
        <v>0</v>
      </c>
      <c r="L6" s="125">
        <v>0</v>
      </c>
      <c r="M6" s="125">
        <f>H6+J6+K6+L6</f>
        <v>465659.55</v>
      </c>
      <c r="N6" s="125">
        <f>'2008'!D23</f>
        <v>49375.4987</v>
      </c>
      <c r="O6" s="125">
        <f>'2008'!D24</f>
        <v>314207.719</v>
      </c>
      <c r="P6" s="125">
        <f>'2008'!D25</f>
        <v>155190</v>
      </c>
      <c r="Q6" s="126">
        <v>0</v>
      </c>
      <c r="R6" s="125">
        <f>SUM(N6:Q6)</f>
        <v>518773.2177</v>
      </c>
      <c r="S6" s="125">
        <f>M6-R6</f>
        <v>-53113.66769999999</v>
      </c>
    </row>
    <row r="7" spans="1:19" ht="15.75">
      <c r="A7" s="125">
        <f>S6</f>
        <v>-53113.66769999999</v>
      </c>
      <c r="B7" s="123" t="s">
        <v>174</v>
      </c>
      <c r="C7" s="125">
        <f>'отчет 2009'!H10</f>
        <v>704668.19</v>
      </c>
      <c r="D7" s="125">
        <v>29979.53</v>
      </c>
      <c r="E7" s="125">
        <f>SUM(C7:D7)</f>
        <v>734647.72</v>
      </c>
      <c r="F7" s="125">
        <f>'отчет 2009'!H13</f>
        <v>673189.82</v>
      </c>
      <c r="G7" s="125">
        <v>28796.22</v>
      </c>
      <c r="H7" s="125">
        <f>SUM(F7:G7)</f>
        <v>701986.0399999999</v>
      </c>
      <c r="I7" s="126">
        <f>E7-H7</f>
        <v>32661.68000000005</v>
      </c>
      <c r="J7" s="125">
        <v>0</v>
      </c>
      <c r="K7" s="125">
        <v>0</v>
      </c>
      <c r="L7" s="125">
        <v>0</v>
      </c>
      <c r="M7" s="125">
        <f>H7+J7+K7+L7</f>
        <v>701986.0399999999</v>
      </c>
      <c r="N7" s="125">
        <f>'отчет 2009'!H31</f>
        <v>70590.74</v>
      </c>
      <c r="O7" s="125">
        <f>'отчет 2009'!H32-'отчет 2009'!H31</f>
        <v>562484.97</v>
      </c>
      <c r="P7" s="125">
        <f>'отчет 2009'!H33</f>
        <v>43200</v>
      </c>
      <c r="Q7" s="126">
        <v>0</v>
      </c>
      <c r="R7" s="125">
        <f>SUM(N7:Q7)</f>
        <v>676275.71</v>
      </c>
      <c r="S7" s="125">
        <f>M7-R7</f>
        <v>25710.329999999958</v>
      </c>
    </row>
    <row r="8" spans="1:19" ht="15.75">
      <c r="A8" s="125">
        <f>A7+S7</f>
        <v>-27403.337700000033</v>
      </c>
      <c r="B8" s="123" t="s">
        <v>175</v>
      </c>
      <c r="C8" s="125">
        <v>706494.6</v>
      </c>
      <c r="D8" s="125">
        <v>30798.59</v>
      </c>
      <c r="E8" s="125">
        <f>SUM(C8:D8)</f>
        <v>737293.19</v>
      </c>
      <c r="F8" s="125">
        <f>'отчет 2010'!J10</f>
        <v>655749.72</v>
      </c>
      <c r="G8" s="125">
        <f>'отчет 2010'!J11</f>
        <v>28465.68</v>
      </c>
      <c r="H8" s="125">
        <f>SUM(F8:G8)</f>
        <v>684215.4</v>
      </c>
      <c r="I8" s="126">
        <f>E8-H8</f>
        <v>53077.78999999992</v>
      </c>
      <c r="J8" s="125">
        <f>'отчет 2010'!I12</f>
        <v>0</v>
      </c>
      <c r="K8" s="125">
        <f>'отчет 2010'!J13</f>
        <v>262650</v>
      </c>
      <c r="L8" s="125">
        <v>0</v>
      </c>
      <c r="M8" s="125">
        <f>H8+J8+K8+L8</f>
        <v>946865.4</v>
      </c>
      <c r="N8" s="125">
        <f>'отчет 2010'!J29</f>
        <v>70590.74</v>
      </c>
      <c r="O8" s="125">
        <f>'отчет 2010'!J34-'отчет 2010'!J29</f>
        <v>543176.5619999999</v>
      </c>
      <c r="P8" s="125">
        <f>'отчет 2010'!J35</f>
        <v>190000</v>
      </c>
      <c r="Q8" s="126">
        <v>0</v>
      </c>
      <c r="R8" s="125">
        <f>SUM(N8:Q8)</f>
        <v>803767.3019999999</v>
      </c>
      <c r="S8" s="125">
        <f>M8-R8</f>
        <v>143098.09800000011</v>
      </c>
    </row>
    <row r="9" spans="1:19" ht="15.75">
      <c r="A9" s="125">
        <f>A8+S8</f>
        <v>115694.76030000008</v>
      </c>
      <c r="B9" s="123" t="s">
        <v>176</v>
      </c>
      <c r="C9" s="125">
        <v>812307.32</v>
      </c>
      <c r="D9" s="125">
        <v>36729.27</v>
      </c>
      <c r="E9" s="125">
        <f>SUM(C9:D9)</f>
        <v>849036.59</v>
      </c>
      <c r="F9" s="125">
        <f>'отчет 2011'!J10</f>
        <v>775261.02</v>
      </c>
      <c r="G9" s="125">
        <f>'отчет 2011'!J11</f>
        <v>35143.74</v>
      </c>
      <c r="H9" s="125">
        <f>SUM(F9:G9)</f>
        <v>810404.76</v>
      </c>
      <c r="I9" s="126">
        <f>E9-H9</f>
        <v>38631.82999999996</v>
      </c>
      <c r="J9" s="125">
        <f>'отчет 2011'!J12</f>
        <v>0</v>
      </c>
      <c r="K9" s="125">
        <f>'отчет 2011'!J13</f>
        <v>311205</v>
      </c>
      <c r="L9" s="125">
        <v>0</v>
      </c>
      <c r="M9" s="125">
        <f>H9+J9+K9+L9</f>
        <v>1121609.76</v>
      </c>
      <c r="N9" s="125">
        <f>'отчет 2011'!J29</f>
        <v>81235.38</v>
      </c>
      <c r="O9" s="125">
        <f>'отчет 2011'!J32-'отчет 2011'!J29</f>
        <v>624830.278</v>
      </c>
      <c r="P9" s="125">
        <f>'отчет 2011'!J36</f>
        <v>148900</v>
      </c>
      <c r="Q9" s="126">
        <f>'отчет 2011'!J38</f>
        <v>0</v>
      </c>
      <c r="R9" s="125">
        <f>SUM(N9:Q9)</f>
        <v>854965.658</v>
      </c>
      <c r="S9" s="125">
        <f>M9-R9</f>
        <v>266644.10199999996</v>
      </c>
    </row>
    <row r="10" spans="1:19" ht="15.75">
      <c r="A10" s="125">
        <f>A9+S9</f>
        <v>382338.86230000004</v>
      </c>
      <c r="B10" s="123" t="s">
        <v>261</v>
      </c>
      <c r="C10" s="125">
        <v>475386.59</v>
      </c>
      <c r="D10" s="125">
        <v>21821.9</v>
      </c>
      <c r="E10" s="125">
        <f>SUM(C10:D10)</f>
        <v>497208.49000000005</v>
      </c>
      <c r="F10" s="125">
        <v>452801.25</v>
      </c>
      <c r="G10" s="125">
        <v>20997.43</v>
      </c>
      <c r="H10" s="125">
        <f>SUM(F10:G10)</f>
        <v>473798.68</v>
      </c>
      <c r="I10" s="126">
        <f>E10-H10</f>
        <v>23409.810000000056</v>
      </c>
      <c r="J10" s="125">
        <f>'отчет 2012(01-07)'!K12</f>
        <v>0</v>
      </c>
      <c r="K10" s="125">
        <f>'отчет 2012(01-07)'!K13</f>
        <v>175830</v>
      </c>
      <c r="L10" s="125">
        <v>0</v>
      </c>
      <c r="M10" s="125">
        <f>H10+J10+K10+L10</f>
        <v>649628.6799999999</v>
      </c>
      <c r="N10" s="125">
        <f>'отчет 2012(01-07)'!K29</f>
        <v>47868.42</v>
      </c>
      <c r="O10" s="125">
        <f>'отчет 2012(01-07)'!K31-'отчет 2012(01-07)'!K29</f>
        <v>366259.39</v>
      </c>
      <c r="P10" s="125">
        <f>'отчет 2012(01-07)'!K35</f>
        <v>41207.5</v>
      </c>
      <c r="Q10" s="126">
        <v>0</v>
      </c>
      <c r="R10" s="125">
        <f>SUM(N10:Q10)</f>
        <v>455335.31</v>
      </c>
      <c r="S10" s="125">
        <f>M10-R10</f>
        <v>194293.36999999994</v>
      </c>
    </row>
    <row r="11" spans="1:19" ht="16.5" thickBot="1">
      <c r="A11" s="125"/>
      <c r="B11" s="128" t="s">
        <v>195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9"/>
      <c r="Q11" s="129"/>
      <c r="R11" s="129"/>
      <c r="S11" s="129"/>
    </row>
    <row r="12" spans="1:19" ht="16.5" thickBot="1">
      <c r="A12" s="130" t="s">
        <v>213</v>
      </c>
      <c r="B12" s="131"/>
      <c r="C12" s="132">
        <f>SUM(C6:C11)</f>
        <v>3147724.8699999996</v>
      </c>
      <c r="D12" s="132">
        <f aca="true" t="shared" si="0" ref="D12:M12">SUM(D6:D11)</f>
        <v>143361.43</v>
      </c>
      <c r="E12" s="132">
        <f t="shared" si="0"/>
        <v>3291086.3000000003</v>
      </c>
      <c r="F12" s="132">
        <f>SUM(F6:F11)</f>
        <v>2999020.8499999996</v>
      </c>
      <c r="G12" s="132">
        <f t="shared" si="0"/>
        <v>137043.58</v>
      </c>
      <c r="H12" s="132">
        <f t="shared" si="0"/>
        <v>3136064.43</v>
      </c>
      <c r="I12" s="132">
        <f t="shared" si="0"/>
        <v>155021.87</v>
      </c>
      <c r="J12" s="132">
        <f t="shared" si="0"/>
        <v>0</v>
      </c>
      <c r="K12" s="132">
        <f t="shared" si="0"/>
        <v>749685</v>
      </c>
      <c r="L12" s="132">
        <f t="shared" si="0"/>
        <v>0</v>
      </c>
      <c r="M12" s="132">
        <f t="shared" si="0"/>
        <v>3885749.4299999997</v>
      </c>
      <c r="N12" s="132">
        <f aca="true" t="shared" si="1" ref="N12:S12">SUM(N6:N11)</f>
        <v>319660.77869999997</v>
      </c>
      <c r="O12" s="132">
        <f t="shared" si="1"/>
        <v>2410958.919</v>
      </c>
      <c r="P12" s="132">
        <f t="shared" si="1"/>
        <v>578497.5</v>
      </c>
      <c r="Q12" s="132">
        <f t="shared" si="1"/>
        <v>0</v>
      </c>
      <c r="R12" s="132">
        <f t="shared" si="1"/>
        <v>3309117.1977</v>
      </c>
      <c r="S12" s="132">
        <f t="shared" si="1"/>
        <v>576632.2323</v>
      </c>
    </row>
    <row r="14" spans="2:9" ht="18.75">
      <c r="B14" s="295" t="s">
        <v>262</v>
      </c>
      <c r="C14" s="295"/>
      <c r="D14" s="295"/>
      <c r="E14" s="295"/>
      <c r="F14" s="295" t="s">
        <v>263</v>
      </c>
      <c r="G14" s="295"/>
      <c r="H14" s="295"/>
      <c r="I14" s="295"/>
    </row>
    <row r="15" spans="2:12" ht="18.75">
      <c r="B15" s="202"/>
      <c r="C15" s="202"/>
      <c r="D15" s="202"/>
      <c r="E15" s="202"/>
      <c r="F15" s="202"/>
      <c r="G15" s="202"/>
      <c r="H15" s="202"/>
      <c r="I15" s="202"/>
      <c r="J15" s="160" t="s">
        <v>244</v>
      </c>
      <c r="K15" s="160">
        <v>11865</v>
      </c>
      <c r="L15" s="160">
        <f>K15*8</f>
        <v>94920</v>
      </c>
    </row>
    <row r="16" spans="2:12" ht="15.75">
      <c r="B16" s="203"/>
      <c r="C16" s="203"/>
      <c r="D16" s="203"/>
      <c r="E16" s="203"/>
      <c r="F16" s="203"/>
      <c r="G16" s="203"/>
      <c r="H16" s="203"/>
      <c r="I16" s="203"/>
      <c r="J16" s="160" t="s">
        <v>244</v>
      </c>
      <c r="K16" s="160">
        <v>13080</v>
      </c>
      <c r="L16" s="160">
        <f>K16*8</f>
        <v>104640</v>
      </c>
    </row>
    <row r="17" spans="2:9" ht="18.75">
      <c r="B17" s="203"/>
      <c r="C17" s="204"/>
      <c r="D17" s="204"/>
      <c r="E17" s="203"/>
      <c r="F17" s="203"/>
      <c r="G17" s="203"/>
      <c r="H17" s="203"/>
      <c r="I17" s="203"/>
    </row>
    <row r="18" spans="2:9" ht="18.75">
      <c r="B18" s="202" t="s">
        <v>264</v>
      </c>
      <c r="C18" s="202"/>
      <c r="D18" s="202"/>
      <c r="E18" s="203"/>
      <c r="F18" s="203"/>
      <c r="G18" s="203"/>
      <c r="H18" s="203"/>
      <c r="I18" s="203"/>
    </row>
    <row r="19" spans="2:9" ht="18.75">
      <c r="B19" s="202" t="s">
        <v>265</v>
      </c>
      <c r="C19" s="202"/>
      <c r="D19" s="202"/>
      <c r="E19" s="203"/>
      <c r="F19" s="203"/>
      <c r="G19" s="203"/>
      <c r="H19" s="203"/>
      <c r="I19" s="203"/>
    </row>
    <row r="20" spans="2:9" ht="18.75">
      <c r="B20" s="205" t="s">
        <v>81</v>
      </c>
      <c r="C20" s="203"/>
      <c r="D20" s="203"/>
      <c r="E20" s="203"/>
      <c r="F20" s="295" t="s">
        <v>266</v>
      </c>
      <c r="G20" s="295"/>
      <c r="H20" s="295"/>
      <c r="I20" s="203"/>
    </row>
  </sheetData>
  <sheetProtection/>
  <mergeCells count="22">
    <mergeCell ref="J2:L2"/>
    <mergeCell ref="K3:K4"/>
    <mergeCell ref="A2:A4"/>
    <mergeCell ref="B2:B4"/>
    <mergeCell ref="C2:I2"/>
    <mergeCell ref="C3:E3"/>
    <mergeCell ref="F3:H3"/>
    <mergeCell ref="I3:I4"/>
    <mergeCell ref="P3:P4"/>
    <mergeCell ref="Q3:Q4"/>
    <mergeCell ref="R3:R4"/>
    <mergeCell ref="J3:J4"/>
    <mergeCell ref="B14:E14"/>
    <mergeCell ref="F14:I14"/>
    <mergeCell ref="F20:H20"/>
    <mergeCell ref="A1:S1"/>
    <mergeCell ref="L3:L4"/>
    <mergeCell ref="M2:M4"/>
    <mergeCell ref="N2:R2"/>
    <mergeCell ref="N3:N4"/>
    <mergeCell ref="S2:S4"/>
    <mergeCell ref="O3:O4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4">
      <selection activeCell="H36" sqref="H36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85.5" customHeight="1">
      <c r="A1" s="230" t="s">
        <v>198</v>
      </c>
      <c r="B1" s="230"/>
      <c r="C1" s="230"/>
      <c r="D1" s="230"/>
      <c r="E1" s="230"/>
      <c r="F1" s="230"/>
      <c r="G1" s="230"/>
      <c r="H1" s="230"/>
    </row>
    <row r="2" spans="1:8" ht="58.5" customHeight="1">
      <c r="A2" s="231" t="s">
        <v>82</v>
      </c>
      <c r="B2" s="231"/>
      <c r="C2" s="231"/>
      <c r="D2" s="231"/>
      <c r="E2" s="231"/>
      <c r="F2" s="231"/>
      <c r="G2" s="231"/>
      <c r="H2" s="231"/>
    </row>
    <row r="3" spans="2:6" ht="18.75">
      <c r="B3" s="1" t="s">
        <v>83</v>
      </c>
      <c r="C3" s="2"/>
      <c r="D3" s="2" t="s">
        <v>0</v>
      </c>
      <c r="E3" s="4">
        <v>4668.7</v>
      </c>
      <c r="F3" s="2"/>
    </row>
    <row r="4" spans="2:6" ht="15.75">
      <c r="B4" s="3" t="s">
        <v>1</v>
      </c>
      <c r="C4" s="28">
        <v>9</v>
      </c>
      <c r="D4" s="2" t="s">
        <v>2</v>
      </c>
      <c r="E4" s="4">
        <v>144</v>
      </c>
      <c r="F4" s="2"/>
    </row>
    <row r="5" spans="2:7" ht="15.75">
      <c r="B5" s="3" t="s">
        <v>3</v>
      </c>
      <c r="C5" s="4">
        <v>1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222"/>
      <c r="C7" s="222"/>
      <c r="D7" s="222"/>
      <c r="E7" s="11" t="s">
        <v>6</v>
      </c>
      <c r="F7" s="11" t="s">
        <v>7</v>
      </c>
      <c r="G7" s="36" t="s">
        <v>22</v>
      </c>
      <c r="H7" s="10" t="s">
        <v>33</v>
      </c>
    </row>
    <row r="8" spans="1:8" ht="15.75">
      <c r="A8" s="23"/>
      <c r="B8" s="223" t="s">
        <v>64</v>
      </c>
      <c r="C8" s="224"/>
      <c r="D8" s="224"/>
      <c r="E8" s="224"/>
      <c r="F8" s="225"/>
      <c r="G8" s="15"/>
      <c r="H8" s="16"/>
    </row>
    <row r="9" spans="1:8" ht="15.75" customHeight="1">
      <c r="A9" s="23"/>
      <c r="B9" s="228" t="s">
        <v>73</v>
      </c>
      <c r="C9" s="228"/>
      <c r="D9" s="228"/>
      <c r="E9" s="228"/>
      <c r="F9" s="228"/>
      <c r="G9" s="15"/>
      <c r="H9" s="35">
        <v>50950.98</v>
      </c>
    </row>
    <row r="10" spans="1:8" ht="15.75">
      <c r="A10" s="23">
        <v>1</v>
      </c>
      <c r="B10" s="227" t="s">
        <v>62</v>
      </c>
      <c r="C10" s="227"/>
      <c r="D10" s="227"/>
      <c r="E10" s="227"/>
      <c r="F10" s="227"/>
      <c r="G10" s="17"/>
      <c r="H10" s="18">
        <v>704668.19</v>
      </c>
    </row>
    <row r="11" spans="1:8" ht="15.75">
      <c r="A11" s="23"/>
      <c r="B11" s="227" t="s">
        <v>75</v>
      </c>
      <c r="C11" s="227"/>
      <c r="D11" s="227"/>
      <c r="E11" s="227"/>
      <c r="F11" s="227"/>
      <c r="G11" s="17"/>
      <c r="H11" s="38">
        <f>H10*0.9</f>
        <v>634201.3709999999</v>
      </c>
    </row>
    <row r="12" spans="1:8" ht="15.75">
      <c r="A12" s="23"/>
      <c r="B12" s="227" t="s">
        <v>76</v>
      </c>
      <c r="C12" s="227"/>
      <c r="D12" s="227"/>
      <c r="E12" s="227"/>
      <c r="F12" s="227"/>
      <c r="G12" s="17"/>
      <c r="H12" s="38">
        <f>H10-H11</f>
        <v>70466.81900000002</v>
      </c>
    </row>
    <row r="13" spans="1:8" ht="15.75">
      <c r="A13" s="23">
        <v>2</v>
      </c>
      <c r="B13" s="227" t="s">
        <v>63</v>
      </c>
      <c r="C13" s="227"/>
      <c r="D13" s="227"/>
      <c r="E13" s="227"/>
      <c r="F13" s="227"/>
      <c r="G13" s="17"/>
      <c r="H13" s="18">
        <v>673189.82</v>
      </c>
    </row>
    <row r="14" spans="1:8" ht="15.75">
      <c r="A14" s="23">
        <v>3</v>
      </c>
      <c r="B14" s="227" t="s">
        <v>67</v>
      </c>
      <c r="C14" s="227"/>
      <c r="D14" s="227"/>
      <c r="E14" s="227"/>
      <c r="F14" s="227"/>
      <c r="G14" s="17"/>
      <c r="H14" s="38">
        <f>H10-H13</f>
        <v>31478.369999999995</v>
      </c>
    </row>
    <row r="15" spans="1:9" ht="15.75">
      <c r="A15" s="23">
        <v>4</v>
      </c>
      <c r="B15" s="228" t="s">
        <v>74</v>
      </c>
      <c r="C15" s="228"/>
      <c r="D15" s="228"/>
      <c r="E15" s="228"/>
      <c r="F15" s="228"/>
      <c r="G15" s="17"/>
      <c r="H15" s="42">
        <f>H9+H10-H13</f>
        <v>82429.34999999998</v>
      </c>
      <c r="I15" s="34"/>
    </row>
    <row r="16" spans="1:8" ht="18.75">
      <c r="A16" s="23">
        <v>5</v>
      </c>
      <c r="B16" s="229" t="s">
        <v>65</v>
      </c>
      <c r="C16" s="229"/>
      <c r="D16" s="229"/>
      <c r="E16" s="229"/>
      <c r="F16" s="229"/>
      <c r="G16" s="17"/>
      <c r="H16" s="29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0"/>
    </row>
    <row r="18" spans="1:8" ht="31.5">
      <c r="A18" s="26" t="s">
        <v>40</v>
      </c>
      <c r="B18" s="226" t="s">
        <v>18</v>
      </c>
      <c r="C18" s="226"/>
      <c r="D18" s="226"/>
      <c r="E18" s="6" t="s">
        <v>32</v>
      </c>
      <c r="F18" s="6" t="s">
        <v>24</v>
      </c>
      <c r="G18" s="12">
        <v>1.06</v>
      </c>
      <c r="H18" s="39">
        <f>ROUND(G18*$E$3*12,2)</f>
        <v>59385.86</v>
      </c>
    </row>
    <row r="19" spans="1:8" ht="15.75">
      <c r="A19" s="23" t="s">
        <v>41</v>
      </c>
      <c r="B19" s="226" t="s">
        <v>17</v>
      </c>
      <c r="C19" s="226"/>
      <c r="D19" s="226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14566.34</v>
      </c>
    </row>
    <row r="20" spans="1:8" ht="15.75">
      <c r="A20" s="26" t="s">
        <v>42</v>
      </c>
      <c r="B20" s="227" t="s">
        <v>23</v>
      </c>
      <c r="C20" s="227"/>
      <c r="D20" s="227"/>
      <c r="E20" s="7" t="s">
        <v>8</v>
      </c>
      <c r="F20" s="7" t="s">
        <v>20</v>
      </c>
      <c r="G20" s="12">
        <v>0.9</v>
      </c>
      <c r="H20" s="39">
        <f t="shared" si="0"/>
        <v>50421.96</v>
      </c>
    </row>
    <row r="21" spans="1:8" ht="33" customHeight="1">
      <c r="A21" s="23" t="s">
        <v>43</v>
      </c>
      <c r="B21" s="214" t="s">
        <v>31</v>
      </c>
      <c r="C21" s="214"/>
      <c r="D21" s="214"/>
      <c r="E21" s="8" t="s">
        <v>9</v>
      </c>
      <c r="F21" s="8" t="s">
        <v>10</v>
      </c>
      <c r="G21" s="12">
        <v>0.46</v>
      </c>
      <c r="H21" s="39">
        <f t="shared" si="0"/>
        <v>25771.22</v>
      </c>
    </row>
    <row r="22" spans="1:8" ht="63">
      <c r="A22" s="26" t="s">
        <v>46</v>
      </c>
      <c r="B22" s="227" t="s">
        <v>27</v>
      </c>
      <c r="C22" s="227"/>
      <c r="D22" s="227"/>
      <c r="E22" s="7" t="s">
        <v>34</v>
      </c>
      <c r="F22" s="7" t="s">
        <v>25</v>
      </c>
      <c r="G22" s="12">
        <v>0.11</v>
      </c>
      <c r="H22" s="39">
        <f t="shared" si="0"/>
        <v>6162.68</v>
      </c>
    </row>
    <row r="23" spans="1:8" ht="31.5">
      <c r="A23" s="23" t="s">
        <v>44</v>
      </c>
      <c r="B23" s="227" t="s">
        <v>11</v>
      </c>
      <c r="C23" s="227"/>
      <c r="D23" s="227"/>
      <c r="E23" s="7" t="s">
        <v>9</v>
      </c>
      <c r="F23" s="7" t="s">
        <v>12</v>
      </c>
      <c r="G23" s="12">
        <v>1.89</v>
      </c>
      <c r="H23" s="39">
        <f t="shared" si="0"/>
        <v>105886.12</v>
      </c>
    </row>
    <row r="24" spans="1:8" ht="15.75">
      <c r="A24" s="26" t="s">
        <v>45</v>
      </c>
      <c r="B24" s="227" t="s">
        <v>26</v>
      </c>
      <c r="C24" s="215"/>
      <c r="D24" s="215"/>
      <c r="E24" s="9" t="s">
        <v>13</v>
      </c>
      <c r="F24" s="9" t="s">
        <v>14</v>
      </c>
      <c r="G24" s="12">
        <v>0.04</v>
      </c>
      <c r="H24" s="39">
        <f t="shared" si="0"/>
        <v>2240.98</v>
      </c>
    </row>
    <row r="25" spans="1:8" ht="36.75" customHeight="1">
      <c r="A25" s="23" t="s">
        <v>47</v>
      </c>
      <c r="B25" s="227" t="s">
        <v>85</v>
      </c>
      <c r="C25" s="227"/>
      <c r="D25" s="227"/>
      <c r="E25" s="9" t="s">
        <v>13</v>
      </c>
      <c r="F25" s="7" t="s">
        <v>78</v>
      </c>
      <c r="G25" s="12">
        <v>0.22</v>
      </c>
      <c r="H25" s="39">
        <f t="shared" si="0"/>
        <v>12325.37</v>
      </c>
    </row>
    <row r="26" spans="1:8" ht="31.5">
      <c r="A26" s="26" t="s">
        <v>48</v>
      </c>
      <c r="B26" s="227" t="s">
        <v>71</v>
      </c>
      <c r="C26" s="227"/>
      <c r="D26" s="227"/>
      <c r="E26" s="6" t="s">
        <v>35</v>
      </c>
      <c r="F26" s="7" t="s">
        <v>78</v>
      </c>
      <c r="G26" s="12">
        <v>2.5</v>
      </c>
      <c r="H26" s="39">
        <f t="shared" si="0"/>
        <v>140061</v>
      </c>
    </row>
    <row r="27" spans="1:8" ht="31.5">
      <c r="A27" s="23" t="s">
        <v>49</v>
      </c>
      <c r="B27" s="226" t="s">
        <v>15</v>
      </c>
      <c r="C27" s="226"/>
      <c r="D27" s="226"/>
      <c r="E27" s="6" t="s">
        <v>35</v>
      </c>
      <c r="F27" s="7" t="s">
        <v>78</v>
      </c>
      <c r="G27" s="12">
        <v>0.46</v>
      </c>
      <c r="H27" s="39">
        <f t="shared" si="0"/>
        <v>25771.22</v>
      </c>
    </row>
    <row r="28" spans="1:8" ht="31.5">
      <c r="A28" s="26" t="s">
        <v>50</v>
      </c>
      <c r="B28" s="232" t="s">
        <v>36</v>
      </c>
      <c r="C28" s="233"/>
      <c r="D28" s="233"/>
      <c r="E28" s="6" t="s">
        <v>35</v>
      </c>
      <c r="F28" s="7" t="s">
        <v>78</v>
      </c>
      <c r="G28" s="13">
        <f>2.14-G29-G30</f>
        <v>2.14</v>
      </c>
      <c r="H28" s="39">
        <f t="shared" si="0"/>
        <v>119892.22</v>
      </c>
    </row>
    <row r="29" spans="1:8" ht="31.5">
      <c r="A29" s="23" t="s">
        <v>51</v>
      </c>
      <c r="B29" s="227" t="s">
        <v>28</v>
      </c>
      <c r="C29" s="227"/>
      <c r="D29" s="227"/>
      <c r="E29" s="6" t="s">
        <v>35</v>
      </c>
      <c r="F29" s="7" t="s">
        <v>78</v>
      </c>
      <c r="G29" s="13">
        <v>0</v>
      </c>
      <c r="H29" s="39">
        <f t="shared" si="0"/>
        <v>0</v>
      </c>
    </row>
    <row r="30" spans="1:8" ht="31.5">
      <c r="A30" s="26" t="s">
        <v>52</v>
      </c>
      <c r="B30" s="227" t="s">
        <v>29</v>
      </c>
      <c r="C30" s="227"/>
      <c r="D30" s="227"/>
      <c r="E30" s="6" t="s">
        <v>35</v>
      </c>
      <c r="F30" s="7" t="s">
        <v>78</v>
      </c>
      <c r="G30" s="13">
        <v>0</v>
      </c>
      <c r="H30" s="39">
        <f t="shared" si="0"/>
        <v>0</v>
      </c>
    </row>
    <row r="31" spans="1:8" ht="31.5">
      <c r="A31" s="23" t="s">
        <v>53</v>
      </c>
      <c r="B31" s="215" t="s">
        <v>21</v>
      </c>
      <c r="C31" s="215"/>
      <c r="D31" s="215"/>
      <c r="E31" s="6" t="s">
        <v>35</v>
      </c>
      <c r="F31" s="7" t="s">
        <v>78</v>
      </c>
      <c r="G31" s="9">
        <v>1.26</v>
      </c>
      <c r="H31" s="39">
        <f t="shared" si="0"/>
        <v>70590.74</v>
      </c>
    </row>
    <row r="32" spans="1:8" ht="15.75">
      <c r="A32" s="23" t="s">
        <v>54</v>
      </c>
      <c r="B32" s="208" t="s">
        <v>30</v>
      </c>
      <c r="C32" s="208"/>
      <c r="D32" s="208"/>
      <c r="E32" s="14"/>
      <c r="F32" s="7"/>
      <c r="G32" s="21">
        <f>SUM(G18:G31)</f>
        <v>11.299999999999999</v>
      </c>
      <c r="H32" s="40">
        <f>SUM(H18:H31)</f>
        <v>633075.71</v>
      </c>
    </row>
    <row r="33" spans="1:8" ht="15.75">
      <c r="A33" s="23" t="s">
        <v>55</v>
      </c>
      <c r="B33" s="228" t="s">
        <v>37</v>
      </c>
      <c r="C33" s="215"/>
      <c r="D33" s="215"/>
      <c r="E33" s="14"/>
      <c r="F33" s="27" t="s">
        <v>79</v>
      </c>
      <c r="G33" s="24">
        <f>H33/E3/12</f>
        <v>0.7710925953691606</v>
      </c>
      <c r="H33" s="31">
        <v>43200</v>
      </c>
    </row>
    <row r="34" spans="1:8" ht="18.75">
      <c r="A34" s="25" t="s">
        <v>56</v>
      </c>
      <c r="B34" s="207" t="s">
        <v>69</v>
      </c>
      <c r="C34" s="207"/>
      <c r="D34" s="207"/>
      <c r="E34" s="207"/>
      <c r="F34" s="207"/>
      <c r="G34" s="21">
        <f>SUM(G32:G33)</f>
        <v>12.07109259536916</v>
      </c>
      <c r="H34" s="43">
        <f>SUM(H32:H33)</f>
        <v>676275.71</v>
      </c>
    </row>
    <row r="35" spans="1:8" ht="18.75">
      <c r="A35" s="23" t="s">
        <v>61</v>
      </c>
      <c r="B35" s="212" t="s">
        <v>38</v>
      </c>
      <c r="C35" s="213"/>
      <c r="D35" s="213"/>
      <c r="E35" s="213"/>
      <c r="F35" s="213"/>
      <c r="G35" s="206"/>
      <c r="H35" s="32"/>
    </row>
    <row r="36" spans="1:8" ht="15.75" customHeight="1">
      <c r="A36" s="23" t="s">
        <v>57</v>
      </c>
      <c r="B36" s="216" t="s">
        <v>68</v>
      </c>
      <c r="C36" s="217"/>
      <c r="D36" s="217"/>
      <c r="E36" s="217"/>
      <c r="F36" s="217"/>
      <c r="G36" s="211"/>
      <c r="H36" s="33">
        <v>-76754.18</v>
      </c>
    </row>
    <row r="37" spans="1:8" ht="15.75" customHeight="1">
      <c r="A37" s="23" t="s">
        <v>58</v>
      </c>
      <c r="B37" s="216" t="s">
        <v>72</v>
      </c>
      <c r="C37" s="217"/>
      <c r="D37" s="217"/>
      <c r="E37" s="217"/>
      <c r="F37" s="217"/>
      <c r="G37" s="211"/>
      <c r="H37" s="41">
        <f>H13-H34</f>
        <v>-3085.890000000014</v>
      </c>
    </row>
    <row r="38" spans="1:8" ht="15.75" customHeight="1">
      <c r="A38" s="23" t="s">
        <v>59</v>
      </c>
      <c r="B38" s="216" t="s">
        <v>70</v>
      </c>
      <c r="C38" s="217"/>
      <c r="D38" s="217"/>
      <c r="E38" s="217"/>
      <c r="F38" s="217"/>
      <c r="G38" s="211"/>
      <c r="H38" s="41">
        <f>H36+H37</f>
        <v>-79840.07</v>
      </c>
    </row>
    <row r="39" spans="2:6" ht="28.5" customHeight="1">
      <c r="B39" s="37" t="s">
        <v>77</v>
      </c>
      <c r="F39" s="37" t="s">
        <v>80</v>
      </c>
    </row>
    <row r="40" spans="2:6" ht="20.25" customHeight="1">
      <c r="B40" s="37"/>
      <c r="F40" s="37"/>
    </row>
    <row r="41" spans="2:9" ht="15.75">
      <c r="B41" s="37" t="s">
        <v>81</v>
      </c>
      <c r="C41" s="37"/>
      <c r="D41" s="37"/>
      <c r="E41" s="37"/>
      <c r="F41" s="37" t="s">
        <v>84</v>
      </c>
      <c r="I41" t="s">
        <v>147</v>
      </c>
    </row>
    <row r="42" ht="15.75">
      <c r="B42" t="s">
        <v>86</v>
      </c>
    </row>
  </sheetData>
  <sheetProtection/>
  <mergeCells count="33">
    <mergeCell ref="B23:D23"/>
    <mergeCell ref="B24:D24"/>
    <mergeCell ref="B18:D18"/>
    <mergeCell ref="B11:F11"/>
    <mergeCell ref="B12:F12"/>
    <mergeCell ref="B31:D31"/>
    <mergeCell ref="B38:G38"/>
    <mergeCell ref="B35:G35"/>
    <mergeCell ref="B33:D33"/>
    <mergeCell ref="B34:F34"/>
    <mergeCell ref="B36:G36"/>
    <mergeCell ref="B37:G37"/>
    <mergeCell ref="B32:D32"/>
    <mergeCell ref="A1:H1"/>
    <mergeCell ref="A2:H2"/>
    <mergeCell ref="B29:D29"/>
    <mergeCell ref="B30:D30"/>
    <mergeCell ref="B25:D25"/>
    <mergeCell ref="B26:D26"/>
    <mergeCell ref="B27:D27"/>
    <mergeCell ref="B28:D28"/>
    <mergeCell ref="B21:D21"/>
    <mergeCell ref="B22:D22"/>
    <mergeCell ref="B7:D7"/>
    <mergeCell ref="B8:F8"/>
    <mergeCell ref="B19:D19"/>
    <mergeCell ref="B20:D20"/>
    <mergeCell ref="B10:F10"/>
    <mergeCell ref="B13:F13"/>
    <mergeCell ref="B14:F14"/>
    <mergeCell ref="B15:F15"/>
    <mergeCell ref="B9:F9"/>
    <mergeCell ref="B16:F16"/>
  </mergeCells>
  <printOptions/>
  <pageMargins left="0.35433070866141736" right="0.11811023622047245" top="0.31496062992125984" bottom="0.03937007874015748" header="0.5118110236220472" footer="0.275590551181102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9">
      <selection activeCell="G35" sqref="G3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8.00390625" style="0" hidden="1" customWidth="1"/>
    <col min="7" max="7" width="6.75390625" style="0" bestFit="1" customWidth="1"/>
    <col min="8" max="8" width="11.125" style="0" customWidth="1"/>
    <col min="9" max="9" width="11.50390625" style="0" customWidth="1"/>
    <col min="10" max="10" width="11.125" style="0" customWidth="1"/>
  </cols>
  <sheetData>
    <row r="1" spans="1:10" ht="94.5" customHeight="1">
      <c r="A1" s="230" t="s">
        <v>193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3" ht="56.25" customHeight="1">
      <c r="A2" s="231" t="s">
        <v>194</v>
      </c>
      <c r="B2" s="231"/>
      <c r="C2" s="231"/>
      <c r="D2" s="231"/>
      <c r="E2" s="231"/>
      <c r="F2" s="231"/>
      <c r="G2" s="231"/>
      <c r="H2" s="231"/>
      <c r="I2" s="231"/>
      <c r="J2" s="231"/>
      <c r="M2" t="s">
        <v>147</v>
      </c>
    </row>
    <row r="3" spans="2:9" ht="18.75">
      <c r="B3" s="1" t="s">
        <v>83</v>
      </c>
      <c r="C3" s="2"/>
      <c r="D3" s="2" t="s">
        <v>0</v>
      </c>
      <c r="E3" s="4">
        <v>4668.7</v>
      </c>
      <c r="F3" s="2"/>
      <c r="G3" s="81"/>
      <c r="I3" s="81">
        <v>0</v>
      </c>
    </row>
    <row r="4" spans="2:9" ht="15.75">
      <c r="B4" s="3" t="s">
        <v>1</v>
      </c>
      <c r="C4" s="28">
        <v>9</v>
      </c>
      <c r="D4" s="2" t="s">
        <v>2</v>
      </c>
      <c r="E4" s="4">
        <v>144</v>
      </c>
      <c r="F4" s="2"/>
      <c r="I4" t="s">
        <v>97</v>
      </c>
    </row>
    <row r="5" spans="2:9" ht="15.75">
      <c r="B5" s="3" t="s">
        <v>3</v>
      </c>
      <c r="C5" s="4">
        <v>1</v>
      </c>
      <c r="D5" s="2" t="s">
        <v>4</v>
      </c>
      <c r="E5" s="2" t="s">
        <v>16</v>
      </c>
      <c r="F5" s="2"/>
      <c r="G5" s="2"/>
      <c r="I5" s="2" t="s">
        <v>145</v>
      </c>
    </row>
    <row r="6" spans="2:9" ht="15.75">
      <c r="B6" s="3"/>
      <c r="C6" s="4"/>
      <c r="D6" s="2" t="s">
        <v>5</v>
      </c>
      <c r="E6" s="2" t="s">
        <v>16</v>
      </c>
      <c r="F6" s="2"/>
      <c r="I6" t="s">
        <v>146</v>
      </c>
    </row>
    <row r="7" spans="1:10" ht="63">
      <c r="A7" s="22" t="s">
        <v>60</v>
      </c>
      <c r="B7" s="255" t="s">
        <v>148</v>
      </c>
      <c r="C7" s="256"/>
      <c r="D7" s="257"/>
      <c r="E7" s="11" t="s">
        <v>6</v>
      </c>
      <c r="F7" s="11" t="s">
        <v>7</v>
      </c>
      <c r="G7" s="36" t="s">
        <v>22</v>
      </c>
      <c r="H7" s="241" t="s">
        <v>185</v>
      </c>
      <c r="I7" s="242"/>
      <c r="J7" s="243"/>
    </row>
    <row r="8" spans="1:10" ht="15.75">
      <c r="A8" s="23">
        <v>1</v>
      </c>
      <c r="B8" s="223"/>
      <c r="C8" s="224"/>
      <c r="D8" s="224"/>
      <c r="E8" s="224"/>
      <c r="F8" s="225"/>
      <c r="G8" s="104"/>
      <c r="H8" s="75" t="s">
        <v>186</v>
      </c>
      <c r="I8" s="106" t="s">
        <v>187</v>
      </c>
      <c r="J8" s="106" t="s">
        <v>188</v>
      </c>
    </row>
    <row r="9" spans="1:10" ht="15.75" customHeight="1">
      <c r="A9" s="23"/>
      <c r="B9" s="223" t="s">
        <v>149</v>
      </c>
      <c r="C9" s="224"/>
      <c r="D9" s="224"/>
      <c r="E9" s="224"/>
      <c r="F9" s="225"/>
      <c r="G9" s="75"/>
      <c r="H9" s="75"/>
      <c r="I9" s="50"/>
      <c r="J9" s="106"/>
    </row>
    <row r="10" spans="1:10" ht="15.75" customHeight="1">
      <c r="A10" s="82"/>
      <c r="B10" s="254" t="s">
        <v>150</v>
      </c>
      <c r="C10" s="254"/>
      <c r="D10" s="254"/>
      <c r="E10" s="254"/>
      <c r="F10" s="254"/>
      <c r="G10" s="15"/>
      <c r="H10" s="107">
        <v>655749.72</v>
      </c>
      <c r="I10" s="72"/>
      <c r="J10" s="51">
        <f>H10+I10</f>
        <v>655749.72</v>
      </c>
    </row>
    <row r="11" spans="1:10" ht="15.75" customHeight="1">
      <c r="A11" s="82"/>
      <c r="B11" s="254" t="s">
        <v>151</v>
      </c>
      <c r="C11" s="254"/>
      <c r="D11" s="254"/>
      <c r="E11" s="254"/>
      <c r="F11" s="254"/>
      <c r="G11" s="15"/>
      <c r="H11" s="108">
        <v>28465.68</v>
      </c>
      <c r="I11" s="72"/>
      <c r="J11" s="51">
        <f>H11+I11</f>
        <v>28465.68</v>
      </c>
    </row>
    <row r="12" spans="1:10" ht="15.75">
      <c r="A12" s="23"/>
      <c r="B12" s="254" t="s">
        <v>152</v>
      </c>
      <c r="C12" s="254"/>
      <c r="D12" s="254"/>
      <c r="E12" s="254"/>
      <c r="F12" s="254"/>
      <c r="G12" s="15"/>
      <c r="H12" s="83"/>
      <c r="I12" s="109">
        <v>0</v>
      </c>
      <c r="J12" s="51">
        <f>H12+I12</f>
        <v>0</v>
      </c>
    </row>
    <row r="13" spans="1:10" ht="18.75" customHeight="1">
      <c r="A13" s="23"/>
      <c r="B13" s="254" t="s">
        <v>189</v>
      </c>
      <c r="C13" s="254"/>
      <c r="D13" s="254"/>
      <c r="E13" s="254"/>
      <c r="F13" s="254"/>
      <c r="G13" s="15"/>
      <c r="H13" s="83"/>
      <c r="I13" s="109">
        <v>262650</v>
      </c>
      <c r="J13" s="51">
        <f>H13+I13</f>
        <v>262650</v>
      </c>
    </row>
    <row r="14" spans="1:10" ht="15.75">
      <c r="A14" s="23"/>
      <c r="B14" s="228" t="s">
        <v>153</v>
      </c>
      <c r="C14" s="228"/>
      <c r="D14" s="228"/>
      <c r="E14" s="228"/>
      <c r="F14" s="228"/>
      <c r="G14" s="15"/>
      <c r="H14" s="42">
        <f>SUM(H10:H12)</f>
        <v>684215.4</v>
      </c>
      <c r="I14" s="110">
        <f>SUM(I12:I13)</f>
        <v>262650</v>
      </c>
      <c r="J14" s="42">
        <f>SUM(J10:J13)</f>
        <v>946865.4</v>
      </c>
    </row>
    <row r="15" spans="1:10" ht="15.75" customHeight="1">
      <c r="A15" s="23">
        <v>2</v>
      </c>
      <c r="B15" s="229" t="s">
        <v>65</v>
      </c>
      <c r="C15" s="229"/>
      <c r="D15" s="229"/>
      <c r="E15" s="229"/>
      <c r="F15" s="229"/>
      <c r="G15" s="15"/>
      <c r="H15" s="83"/>
      <c r="I15" s="72"/>
      <c r="J15" s="54"/>
    </row>
    <row r="16" spans="1:10" ht="15.75" customHeight="1">
      <c r="A16" s="23" t="s">
        <v>142</v>
      </c>
      <c r="B16" s="19" t="s">
        <v>66</v>
      </c>
      <c r="C16" s="19"/>
      <c r="D16" s="19"/>
      <c r="E16" s="19"/>
      <c r="F16" s="5"/>
      <c r="G16" s="105"/>
      <c r="H16" s="105"/>
      <c r="I16" s="103"/>
      <c r="J16" s="106"/>
    </row>
    <row r="17" spans="1:10" ht="27.75" customHeight="1">
      <c r="A17" s="26"/>
      <c r="B17" s="253" t="s">
        <v>190</v>
      </c>
      <c r="C17" s="253"/>
      <c r="D17" s="253"/>
      <c r="E17" s="84" t="s">
        <v>32</v>
      </c>
      <c r="F17" s="77" t="s">
        <v>24</v>
      </c>
      <c r="G17" s="78">
        <v>1.06</v>
      </c>
      <c r="H17" s="86">
        <f>ROUND(G17*$E$3*12,2)</f>
        <v>59385.86</v>
      </c>
      <c r="I17" s="111">
        <f>$I$12*0.08</f>
        <v>0</v>
      </c>
      <c r="J17" s="110">
        <f>SUM(H17:I17)</f>
        <v>59385.86</v>
      </c>
    </row>
    <row r="18" spans="1:10" ht="15.75" customHeight="1">
      <c r="A18" s="23"/>
      <c r="B18" s="251" t="s">
        <v>17</v>
      </c>
      <c r="C18" s="251"/>
      <c r="D18" s="251"/>
      <c r="E18" s="84" t="s">
        <v>32</v>
      </c>
      <c r="F18" s="77" t="s">
        <v>19</v>
      </c>
      <c r="G18" s="78">
        <v>0.26</v>
      </c>
      <c r="H18" s="86">
        <f>ROUND(G18*$E$3*12,2)</f>
        <v>14566.34</v>
      </c>
      <c r="I18" s="111">
        <f>$I$12*0.02</f>
        <v>0</v>
      </c>
      <c r="J18" s="110">
        <f>SUM(H18:I18)</f>
        <v>14566.34</v>
      </c>
    </row>
    <row r="19" spans="1:10" ht="15.75" customHeight="1">
      <c r="A19" s="23"/>
      <c r="B19" s="252" t="s">
        <v>23</v>
      </c>
      <c r="C19" s="252"/>
      <c r="D19" s="252"/>
      <c r="E19" s="87" t="s">
        <v>154</v>
      </c>
      <c r="F19" s="79" t="s">
        <v>20</v>
      </c>
      <c r="G19" s="78">
        <v>0.9</v>
      </c>
      <c r="H19" s="86">
        <f>J19-I19</f>
        <v>31453.4</v>
      </c>
      <c r="I19" s="111">
        <f>$I$12*0.07</f>
        <v>0</v>
      </c>
      <c r="J19" s="112">
        <v>31453.4</v>
      </c>
    </row>
    <row r="20" spans="1:10" ht="15.75" customHeight="1">
      <c r="A20" s="26"/>
      <c r="B20" s="253" t="s">
        <v>31</v>
      </c>
      <c r="C20" s="253"/>
      <c r="D20" s="253"/>
      <c r="E20" s="88" t="s">
        <v>9</v>
      </c>
      <c r="F20" s="80" t="s">
        <v>10</v>
      </c>
      <c r="G20" s="78">
        <v>0.46</v>
      </c>
      <c r="H20" s="86">
        <f>ROUND(G20*$E$3*12,2)</f>
        <v>25771.22</v>
      </c>
      <c r="I20" s="111">
        <f>$I$12*0.04</f>
        <v>0</v>
      </c>
      <c r="J20" s="110">
        <f>SUM(H20:I20)</f>
        <v>25771.22</v>
      </c>
    </row>
    <row r="21" spans="1:10" ht="50.25" customHeight="1">
      <c r="A21" s="23"/>
      <c r="B21" s="252" t="s">
        <v>27</v>
      </c>
      <c r="C21" s="252"/>
      <c r="D21" s="252"/>
      <c r="E21" s="87" t="s">
        <v>155</v>
      </c>
      <c r="F21" s="79" t="s">
        <v>25</v>
      </c>
      <c r="G21" s="78">
        <v>0.11</v>
      </c>
      <c r="H21" s="86">
        <f>J21-I21</f>
        <v>3749.44</v>
      </c>
      <c r="I21" s="111">
        <f>$I$12*0.01</f>
        <v>0</v>
      </c>
      <c r="J21" s="112">
        <v>3749.44</v>
      </c>
    </row>
    <row r="22" spans="1:10" ht="27.75" customHeight="1">
      <c r="A22" s="26"/>
      <c r="B22" s="252" t="s">
        <v>11</v>
      </c>
      <c r="C22" s="252"/>
      <c r="D22" s="252"/>
      <c r="E22" s="87" t="s">
        <v>9</v>
      </c>
      <c r="F22" s="79" t="s">
        <v>12</v>
      </c>
      <c r="G22" s="78">
        <v>1.93</v>
      </c>
      <c r="H22" s="86">
        <f>J22-I22</f>
        <v>108127.09199999998</v>
      </c>
      <c r="I22" s="111">
        <f>$I$12*0.15</f>
        <v>0</v>
      </c>
      <c r="J22" s="112">
        <f>G22*E3*12</f>
        <v>108127.09199999998</v>
      </c>
    </row>
    <row r="23" spans="1:10" ht="15.75" customHeight="1">
      <c r="A23" s="26"/>
      <c r="B23" s="252" t="s">
        <v>26</v>
      </c>
      <c r="C23" s="250"/>
      <c r="D23" s="250"/>
      <c r="E23" s="89" t="s">
        <v>13</v>
      </c>
      <c r="F23" s="74" t="s">
        <v>14</v>
      </c>
      <c r="G23" s="78">
        <v>0.04</v>
      </c>
      <c r="H23" s="86">
        <f>J23-I23</f>
        <v>2073.4</v>
      </c>
      <c r="I23" s="111">
        <f>$I$12*0.003</f>
        <v>0</v>
      </c>
      <c r="J23" s="112">
        <v>2073.4</v>
      </c>
    </row>
    <row r="24" spans="1:10" ht="27.75" customHeight="1">
      <c r="A24" s="23"/>
      <c r="B24" s="252" t="s">
        <v>71</v>
      </c>
      <c r="C24" s="252"/>
      <c r="D24" s="252"/>
      <c r="E24" s="84" t="s">
        <v>35</v>
      </c>
      <c r="F24" s="113" t="s">
        <v>178</v>
      </c>
      <c r="G24" s="78">
        <v>1.87</v>
      </c>
      <c r="H24" s="86">
        <f aca="true" t="shared" si="0" ref="H24:H29">ROUND(G24*$E$3*12,2)</f>
        <v>104765.63</v>
      </c>
      <c r="I24" s="111">
        <f>$I$12*0.19</f>
        <v>0</v>
      </c>
      <c r="J24" s="110">
        <f aca="true" t="shared" si="1" ref="J24:J29">SUM(H24:I24)</f>
        <v>104765.63</v>
      </c>
    </row>
    <row r="25" spans="1:10" ht="25.5" customHeight="1">
      <c r="A25" s="23"/>
      <c r="B25" s="251" t="s">
        <v>15</v>
      </c>
      <c r="C25" s="251"/>
      <c r="D25" s="251"/>
      <c r="E25" s="84" t="s">
        <v>35</v>
      </c>
      <c r="F25" s="113" t="s">
        <v>178</v>
      </c>
      <c r="G25" s="78">
        <v>0.46</v>
      </c>
      <c r="H25" s="85">
        <f t="shared" si="0"/>
        <v>25771.22</v>
      </c>
      <c r="I25" s="111">
        <v>0</v>
      </c>
      <c r="J25" s="110">
        <f t="shared" si="1"/>
        <v>25771.22</v>
      </c>
    </row>
    <row r="26" spans="1:10" ht="27.75" customHeight="1">
      <c r="A26" s="23"/>
      <c r="B26" s="210" t="s">
        <v>36</v>
      </c>
      <c r="C26" s="245"/>
      <c r="D26" s="246"/>
      <c r="E26" s="84" t="s">
        <v>35</v>
      </c>
      <c r="F26" s="113" t="s">
        <v>178</v>
      </c>
      <c r="G26" s="90">
        <f>2.99-G27-G28</f>
        <v>2.99</v>
      </c>
      <c r="H26" s="85">
        <f t="shared" si="0"/>
        <v>167512.96</v>
      </c>
      <c r="I26" s="114">
        <f>$I$12*0.18</f>
        <v>0</v>
      </c>
      <c r="J26" s="110">
        <f t="shared" si="1"/>
        <v>167512.96</v>
      </c>
    </row>
    <row r="27" spans="1:10" ht="25.5" customHeight="1">
      <c r="A27" s="26"/>
      <c r="B27" s="252" t="s">
        <v>156</v>
      </c>
      <c r="C27" s="252"/>
      <c r="D27" s="252"/>
      <c r="E27" s="84" t="s">
        <v>35</v>
      </c>
      <c r="F27" s="113" t="s">
        <v>178</v>
      </c>
      <c r="G27" s="90">
        <v>0</v>
      </c>
      <c r="H27" s="85">
        <f t="shared" si="0"/>
        <v>0</v>
      </c>
      <c r="I27" s="114">
        <f>$I$12*0.02</f>
        <v>0</v>
      </c>
      <c r="J27" s="110">
        <f t="shared" si="1"/>
        <v>0</v>
      </c>
    </row>
    <row r="28" spans="1:10" ht="15.75" customHeight="1">
      <c r="A28" s="23"/>
      <c r="B28" s="252" t="s">
        <v>157</v>
      </c>
      <c r="C28" s="252"/>
      <c r="D28" s="252"/>
      <c r="E28" s="87" t="s">
        <v>9</v>
      </c>
      <c r="F28" s="113" t="s">
        <v>178</v>
      </c>
      <c r="G28" s="90">
        <v>0</v>
      </c>
      <c r="H28" s="85">
        <f t="shared" si="0"/>
        <v>0</v>
      </c>
      <c r="I28" s="114">
        <f>$I$12*0.02</f>
        <v>0</v>
      </c>
      <c r="J28" s="110">
        <f t="shared" si="1"/>
        <v>0</v>
      </c>
    </row>
    <row r="29" spans="1:10" ht="15.75" customHeight="1">
      <c r="A29" s="23"/>
      <c r="B29" s="250" t="s">
        <v>21</v>
      </c>
      <c r="C29" s="250"/>
      <c r="D29" s="250"/>
      <c r="E29" s="87" t="s">
        <v>9</v>
      </c>
      <c r="F29" s="113" t="s">
        <v>178</v>
      </c>
      <c r="G29" s="74">
        <v>1.26</v>
      </c>
      <c r="H29" s="86">
        <f t="shared" si="0"/>
        <v>70590.74</v>
      </c>
      <c r="I29" s="111">
        <f>$I$12*0.1</f>
        <v>0</v>
      </c>
      <c r="J29" s="110">
        <f t="shared" si="1"/>
        <v>70590.74</v>
      </c>
    </row>
    <row r="30" spans="1:10" ht="15.75">
      <c r="A30" s="23"/>
      <c r="B30" s="244" t="s">
        <v>191</v>
      </c>
      <c r="C30" s="245"/>
      <c r="D30" s="246"/>
      <c r="E30" s="87" t="s">
        <v>9</v>
      </c>
      <c r="F30" s="113"/>
      <c r="G30" s="74"/>
      <c r="H30" s="85"/>
      <c r="I30" s="109"/>
      <c r="J30" s="115"/>
    </row>
    <row r="31" spans="1:10" ht="25.5">
      <c r="A31" s="23"/>
      <c r="B31" s="244" t="s">
        <v>192</v>
      </c>
      <c r="C31" s="245"/>
      <c r="D31" s="246"/>
      <c r="E31" s="84" t="s">
        <v>35</v>
      </c>
      <c r="F31" s="113"/>
      <c r="G31" s="74"/>
      <c r="H31" s="85"/>
      <c r="I31" s="109"/>
      <c r="J31" s="115"/>
    </row>
    <row r="32" spans="1:10" ht="15.75">
      <c r="A32" s="23"/>
      <c r="B32" s="247"/>
      <c r="C32" s="248"/>
      <c r="D32" s="249"/>
      <c r="E32" s="87"/>
      <c r="F32" s="113"/>
      <c r="G32" s="74"/>
      <c r="H32" s="85"/>
      <c r="I32" s="109"/>
      <c r="J32" s="115"/>
    </row>
    <row r="33" spans="1:10" ht="15.75" customHeight="1">
      <c r="A33" s="23"/>
      <c r="B33" s="247"/>
      <c r="C33" s="248"/>
      <c r="D33" s="249"/>
      <c r="E33" s="87"/>
      <c r="F33" s="113"/>
      <c r="G33" s="74"/>
      <c r="H33" s="85"/>
      <c r="I33" s="109"/>
      <c r="J33" s="115"/>
    </row>
    <row r="34" spans="1:10" ht="15.75">
      <c r="A34" s="23"/>
      <c r="B34" s="208" t="s">
        <v>30</v>
      </c>
      <c r="C34" s="208"/>
      <c r="D34" s="208"/>
      <c r="E34" s="14"/>
      <c r="F34" s="113"/>
      <c r="G34" s="21">
        <f>SUM(G17:G29)</f>
        <v>11.34</v>
      </c>
      <c r="H34" s="40">
        <f>SUM(H17:H33)</f>
        <v>613767.3019999999</v>
      </c>
      <c r="I34" s="116">
        <f>SUM(I17:I33)</f>
        <v>0</v>
      </c>
      <c r="J34" s="40">
        <f>SUM(J17:J33)</f>
        <v>613767.3019999999</v>
      </c>
    </row>
    <row r="35" spans="1:10" ht="15.75" customHeight="1">
      <c r="A35" s="23" t="s">
        <v>143</v>
      </c>
      <c r="B35" s="237" t="s">
        <v>158</v>
      </c>
      <c r="C35" s="238"/>
      <c r="D35" s="238"/>
      <c r="E35" s="239"/>
      <c r="F35" s="113" t="s">
        <v>178</v>
      </c>
      <c r="G35" s="24">
        <f>H35/E3/12</f>
        <v>3.3913794703736233</v>
      </c>
      <c r="H35" s="31">
        <v>190000</v>
      </c>
      <c r="I35" s="117">
        <v>0</v>
      </c>
      <c r="J35" s="110">
        <f>SUM(H35:I35)</f>
        <v>190000</v>
      </c>
    </row>
    <row r="36" spans="1:10" ht="15.75" customHeight="1">
      <c r="A36" s="25"/>
      <c r="B36" s="209" t="s">
        <v>69</v>
      </c>
      <c r="C36" s="209"/>
      <c r="D36" s="209"/>
      <c r="E36" s="209"/>
      <c r="F36" s="209"/>
      <c r="G36" s="21">
        <f>SUM(G34:G35)</f>
        <v>14.731379470373623</v>
      </c>
      <c r="H36" s="91">
        <f>SUM(H34:H35)</f>
        <v>803767.3019999999</v>
      </c>
      <c r="I36" s="116">
        <f>SUM(I34:I35)</f>
        <v>0</v>
      </c>
      <c r="J36" s="116">
        <f>SUM(J34:J35)</f>
        <v>803767.3019999999</v>
      </c>
    </row>
    <row r="37" spans="1:10" ht="15.75">
      <c r="A37" s="23" t="s">
        <v>144</v>
      </c>
      <c r="B37" s="240" t="s">
        <v>159</v>
      </c>
      <c r="C37" s="240"/>
      <c r="D37" s="240"/>
      <c r="E37" s="240"/>
      <c r="F37" s="240"/>
      <c r="G37" s="92"/>
      <c r="H37" s="93">
        <v>0</v>
      </c>
      <c r="I37" s="112">
        <v>0</v>
      </c>
      <c r="J37" s="118">
        <f>SUM(H37:I37)</f>
        <v>0</v>
      </c>
    </row>
    <row r="38" spans="1:10" ht="15.75" customHeight="1">
      <c r="A38" s="25"/>
      <c r="B38" s="209" t="s">
        <v>160</v>
      </c>
      <c r="C38" s="209"/>
      <c r="D38" s="209"/>
      <c r="E38" s="209"/>
      <c r="F38" s="209"/>
      <c r="G38" s="21">
        <f>SUM(G36:G37)</f>
        <v>14.731379470373623</v>
      </c>
      <c r="H38" s="91">
        <f>SUM(H36:H37)</f>
        <v>803767.3019999999</v>
      </c>
      <c r="I38" s="116">
        <f>SUM(I36:I37)</f>
        <v>0</v>
      </c>
      <c r="J38" s="116">
        <f>SUM(J36:J37)</f>
        <v>803767.3019999999</v>
      </c>
    </row>
    <row r="39" spans="1:10" ht="15.75">
      <c r="A39" s="23">
        <v>3</v>
      </c>
      <c r="B39" s="210" t="s">
        <v>161</v>
      </c>
      <c r="C39" s="234"/>
      <c r="D39" s="234"/>
      <c r="E39" s="234"/>
      <c r="F39" s="234"/>
      <c r="G39" s="235"/>
      <c r="H39" s="94">
        <f>H14-H38</f>
        <v>-119551.90199999989</v>
      </c>
      <c r="I39" s="86">
        <f>I14-I38</f>
        <v>262650</v>
      </c>
      <c r="J39" s="118">
        <f>J14-J38</f>
        <v>143098.09800000011</v>
      </c>
    </row>
    <row r="41" spans="2:9" ht="15.75">
      <c r="B41" s="37" t="s">
        <v>77</v>
      </c>
      <c r="F41" s="37" t="s">
        <v>80</v>
      </c>
      <c r="H41" s="37" t="s">
        <v>80</v>
      </c>
      <c r="I41" s="37"/>
    </row>
    <row r="42" spans="2:9" ht="15.75">
      <c r="B42" s="37"/>
      <c r="F42" s="37"/>
      <c r="H42" s="37"/>
      <c r="I42" s="37"/>
    </row>
    <row r="43" spans="2:9" ht="15.75">
      <c r="B43" s="37" t="s">
        <v>81</v>
      </c>
      <c r="C43" s="37"/>
      <c r="D43" s="37"/>
      <c r="E43" s="37"/>
      <c r="F43" s="37" t="s">
        <v>84</v>
      </c>
      <c r="H43" s="37" t="s">
        <v>84</v>
      </c>
      <c r="I43" s="37"/>
    </row>
    <row r="44" spans="2:4" ht="15.75">
      <c r="B44" s="236" t="s">
        <v>86</v>
      </c>
      <c r="C44" s="236"/>
      <c r="D44" s="236"/>
    </row>
  </sheetData>
  <sheetProtection/>
  <mergeCells count="36">
    <mergeCell ref="B11:F11"/>
    <mergeCell ref="B12:F12"/>
    <mergeCell ref="B7:D7"/>
    <mergeCell ref="B17:D17"/>
    <mergeCell ref="B13:F13"/>
    <mergeCell ref="B14:F14"/>
    <mergeCell ref="B15:F15"/>
    <mergeCell ref="B8:F8"/>
    <mergeCell ref="B9:F9"/>
    <mergeCell ref="B10:F10"/>
    <mergeCell ref="B23:D23"/>
    <mergeCell ref="B24:D24"/>
    <mergeCell ref="B18:D18"/>
    <mergeCell ref="B19:D19"/>
    <mergeCell ref="B20:D20"/>
    <mergeCell ref="B21:D21"/>
    <mergeCell ref="B22:D22"/>
    <mergeCell ref="B29:D29"/>
    <mergeCell ref="B25:D25"/>
    <mergeCell ref="B26:D26"/>
    <mergeCell ref="B27:D27"/>
    <mergeCell ref="B28:D28"/>
    <mergeCell ref="B30:D30"/>
    <mergeCell ref="B31:D31"/>
    <mergeCell ref="B32:D32"/>
    <mergeCell ref="B33:D33"/>
    <mergeCell ref="B38:F38"/>
    <mergeCell ref="B39:G39"/>
    <mergeCell ref="B44:D44"/>
    <mergeCell ref="A1:J1"/>
    <mergeCell ref="A2:J2"/>
    <mergeCell ref="B34:D34"/>
    <mergeCell ref="B35:E35"/>
    <mergeCell ref="B36:F36"/>
    <mergeCell ref="B37:F37"/>
    <mergeCell ref="H7:J7"/>
  </mergeCells>
  <printOptions/>
  <pageMargins left="0.6" right="0" top="0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15" sqref="B15:D1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8.00390625" style="0" hidden="1" customWidth="1"/>
    <col min="8" max="8" width="12.625" style="0" customWidth="1"/>
    <col min="9" max="9" width="9.875" style="0" bestFit="1" customWidth="1"/>
  </cols>
  <sheetData>
    <row r="1" spans="1:8" ht="85.5" customHeight="1">
      <c r="A1" s="230" t="s">
        <v>214</v>
      </c>
      <c r="B1" s="230"/>
      <c r="C1" s="230"/>
      <c r="D1" s="230"/>
      <c r="E1" s="230"/>
      <c r="F1" s="230"/>
      <c r="G1" s="230"/>
      <c r="H1" s="230"/>
    </row>
    <row r="2" spans="2:6" ht="18.75">
      <c r="B2" s="1" t="s">
        <v>83</v>
      </c>
      <c r="C2" s="2"/>
      <c r="D2" s="2" t="s">
        <v>0</v>
      </c>
      <c r="E2" s="4">
        <v>4668.7</v>
      </c>
      <c r="F2" s="2"/>
    </row>
    <row r="3" spans="2:6" ht="15.75">
      <c r="B3" s="3" t="s">
        <v>1</v>
      </c>
      <c r="C3" s="28">
        <v>9</v>
      </c>
      <c r="D3" s="2" t="s">
        <v>2</v>
      </c>
      <c r="E3" s="4">
        <v>144</v>
      </c>
      <c r="F3" s="2"/>
    </row>
    <row r="4" spans="2:7" ht="15.75">
      <c r="B4" s="3" t="s">
        <v>3</v>
      </c>
      <c r="C4" s="4">
        <v>1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51.75" customHeight="1">
      <c r="A6" s="119" t="s">
        <v>60</v>
      </c>
      <c r="B6" s="270" t="s">
        <v>148</v>
      </c>
      <c r="C6" s="271"/>
      <c r="D6" s="272"/>
      <c r="E6" s="70" t="s">
        <v>6</v>
      </c>
      <c r="F6" s="70" t="s">
        <v>7</v>
      </c>
      <c r="G6" s="95" t="s">
        <v>196</v>
      </c>
      <c r="H6" s="120" t="s">
        <v>137</v>
      </c>
    </row>
    <row r="7" spans="1:8" ht="15.75" customHeight="1">
      <c r="A7" s="71">
        <v>1</v>
      </c>
      <c r="B7" s="273" t="s">
        <v>138</v>
      </c>
      <c r="C7" s="273"/>
      <c r="D7" s="273"/>
      <c r="E7" s="273"/>
      <c r="F7" s="273"/>
      <c r="G7" s="72"/>
      <c r="H7" s="73"/>
    </row>
    <row r="8" spans="1:8" ht="15.75" customHeight="1">
      <c r="A8" s="71"/>
      <c r="B8" s="228" t="s">
        <v>177</v>
      </c>
      <c r="C8" s="228"/>
      <c r="D8" s="228"/>
      <c r="E8" s="228"/>
      <c r="F8" s="228"/>
      <c r="G8" s="24">
        <f>G31</f>
        <v>14.489999999999997</v>
      </c>
      <c r="H8" s="73">
        <f>ROUND($E$2*G8*12,0)</f>
        <v>811794</v>
      </c>
    </row>
    <row r="9" spans="1:8" ht="15.75" customHeight="1">
      <c r="A9" s="71"/>
      <c r="B9" s="269" t="s">
        <v>139</v>
      </c>
      <c r="C9" s="269"/>
      <c r="D9" s="269"/>
      <c r="E9" s="269"/>
      <c r="F9" s="269"/>
      <c r="G9" s="23">
        <v>0.76</v>
      </c>
      <c r="H9" s="73">
        <f>ROUND($E$2*G9*12,0)</f>
        <v>42579</v>
      </c>
    </row>
    <row r="10" spans="1:8" ht="18.75" customHeight="1">
      <c r="A10" s="71">
        <v>2</v>
      </c>
      <c r="B10" s="229" t="s">
        <v>65</v>
      </c>
      <c r="C10" s="229"/>
      <c r="D10" s="229"/>
      <c r="E10" s="229"/>
      <c r="F10" s="229"/>
      <c r="G10" s="74"/>
      <c r="H10" s="73"/>
    </row>
    <row r="11" spans="1:8" ht="15.75" customHeight="1">
      <c r="A11" s="71" t="s">
        <v>142</v>
      </c>
      <c r="B11" s="19" t="s">
        <v>66</v>
      </c>
      <c r="C11" s="19"/>
      <c r="D11" s="19"/>
      <c r="E11" s="19"/>
      <c r="F11" s="5"/>
      <c r="G11" s="75"/>
      <c r="H11" s="73"/>
    </row>
    <row r="12" spans="1:8" ht="15" customHeight="1">
      <c r="A12" s="76"/>
      <c r="B12" s="268" t="s">
        <v>190</v>
      </c>
      <c r="C12" s="268"/>
      <c r="D12" s="268"/>
      <c r="E12" s="84" t="s">
        <v>32</v>
      </c>
      <c r="F12" s="77" t="s">
        <v>24</v>
      </c>
      <c r="G12" s="78">
        <v>1.22</v>
      </c>
      <c r="H12" s="96">
        <f aca="true" t="shared" si="0" ref="H12:H31">ROUND($E$2*G12*12,0)</f>
        <v>68350</v>
      </c>
    </row>
    <row r="13" spans="1:8" ht="15" customHeight="1">
      <c r="A13" s="76"/>
      <c r="B13" s="268" t="s">
        <v>17</v>
      </c>
      <c r="C13" s="268"/>
      <c r="D13" s="268"/>
      <c r="E13" s="84" t="s">
        <v>32</v>
      </c>
      <c r="F13" s="77" t="s">
        <v>19</v>
      </c>
      <c r="G13" s="78">
        <v>0.28</v>
      </c>
      <c r="H13" s="96">
        <f t="shared" si="0"/>
        <v>15687</v>
      </c>
    </row>
    <row r="14" spans="1:8" ht="15" customHeight="1">
      <c r="A14" s="76"/>
      <c r="B14" s="265" t="s">
        <v>23</v>
      </c>
      <c r="C14" s="265"/>
      <c r="D14" s="265"/>
      <c r="E14" s="87" t="s">
        <v>154</v>
      </c>
      <c r="F14" s="79" t="s">
        <v>20</v>
      </c>
      <c r="G14" s="78">
        <v>0.99</v>
      </c>
      <c r="H14" s="96">
        <f t="shared" si="0"/>
        <v>55464</v>
      </c>
    </row>
    <row r="15" spans="1:8" ht="15" customHeight="1">
      <c r="A15" s="76"/>
      <c r="B15" s="267" t="s">
        <v>31</v>
      </c>
      <c r="C15" s="267"/>
      <c r="D15" s="267"/>
      <c r="E15" s="88" t="s">
        <v>9</v>
      </c>
      <c r="F15" s="80" t="s">
        <v>10</v>
      </c>
      <c r="G15" s="78">
        <v>0.51</v>
      </c>
      <c r="H15" s="96">
        <f t="shared" si="0"/>
        <v>28572</v>
      </c>
    </row>
    <row r="16" spans="1:8" ht="50.25" customHeight="1">
      <c r="A16" s="76"/>
      <c r="B16" s="265" t="s">
        <v>27</v>
      </c>
      <c r="C16" s="265"/>
      <c r="D16" s="265"/>
      <c r="E16" s="87" t="s">
        <v>155</v>
      </c>
      <c r="F16" s="79" t="s">
        <v>25</v>
      </c>
      <c r="G16" s="78">
        <v>0.12</v>
      </c>
      <c r="H16" s="96">
        <f t="shared" si="0"/>
        <v>6723</v>
      </c>
    </row>
    <row r="17" spans="1:8" ht="15" customHeight="1">
      <c r="A17" s="76"/>
      <c r="B17" s="265" t="s">
        <v>11</v>
      </c>
      <c r="C17" s="265"/>
      <c r="D17" s="265"/>
      <c r="E17" s="87" t="s">
        <v>9</v>
      </c>
      <c r="F17" s="79" t="s">
        <v>12</v>
      </c>
      <c r="G17" s="78">
        <v>2.22</v>
      </c>
      <c r="H17" s="96">
        <f t="shared" si="0"/>
        <v>124374</v>
      </c>
    </row>
    <row r="18" spans="1:8" ht="15" customHeight="1">
      <c r="A18" s="76"/>
      <c r="B18" s="265" t="s">
        <v>26</v>
      </c>
      <c r="C18" s="266"/>
      <c r="D18" s="266"/>
      <c r="E18" s="89" t="s">
        <v>13</v>
      </c>
      <c r="F18" s="74" t="s">
        <v>140</v>
      </c>
      <c r="G18" s="78">
        <v>0.05</v>
      </c>
      <c r="H18" s="96">
        <f t="shared" si="0"/>
        <v>2801</v>
      </c>
    </row>
    <row r="19" spans="1:8" ht="26.25" customHeight="1">
      <c r="A19" s="76"/>
      <c r="B19" s="265" t="s">
        <v>71</v>
      </c>
      <c r="C19" s="265"/>
      <c r="D19" s="265"/>
      <c r="E19" s="84" t="s">
        <v>35</v>
      </c>
      <c r="F19" s="79" t="s">
        <v>178</v>
      </c>
      <c r="G19" s="78">
        <v>2.15</v>
      </c>
      <c r="H19" s="96">
        <f t="shared" si="0"/>
        <v>120452</v>
      </c>
    </row>
    <row r="20" spans="1:8" ht="54" customHeight="1">
      <c r="A20" s="76"/>
      <c r="B20" s="268" t="s">
        <v>15</v>
      </c>
      <c r="C20" s="268"/>
      <c r="D20" s="268"/>
      <c r="E20" s="84" t="s">
        <v>141</v>
      </c>
      <c r="F20" s="79" t="s">
        <v>178</v>
      </c>
      <c r="G20" s="78">
        <v>0.53</v>
      </c>
      <c r="H20" s="96">
        <f t="shared" si="0"/>
        <v>29693</v>
      </c>
    </row>
    <row r="21" spans="1:8" ht="29.25" customHeight="1">
      <c r="A21" s="76"/>
      <c r="B21" s="265" t="s">
        <v>36</v>
      </c>
      <c r="C21" s="266"/>
      <c r="D21" s="266"/>
      <c r="E21" s="84" t="s">
        <v>35</v>
      </c>
      <c r="F21" s="79" t="s">
        <v>178</v>
      </c>
      <c r="G21" s="78">
        <f>3.52-G22-G23</f>
        <v>3.52</v>
      </c>
      <c r="H21" s="96">
        <f t="shared" si="0"/>
        <v>197206</v>
      </c>
    </row>
    <row r="22" spans="1:8" ht="15" customHeight="1">
      <c r="A22" s="76"/>
      <c r="B22" s="265" t="s">
        <v>179</v>
      </c>
      <c r="C22" s="265"/>
      <c r="D22" s="265"/>
      <c r="E22" s="87" t="s">
        <v>9</v>
      </c>
      <c r="F22" s="79" t="s">
        <v>178</v>
      </c>
      <c r="G22" s="78">
        <v>0</v>
      </c>
      <c r="H22" s="96">
        <f t="shared" si="0"/>
        <v>0</v>
      </c>
    </row>
    <row r="23" spans="1:8" ht="15" customHeight="1">
      <c r="A23" s="76"/>
      <c r="B23" s="265" t="s">
        <v>157</v>
      </c>
      <c r="C23" s="265"/>
      <c r="D23" s="265"/>
      <c r="E23" s="87" t="s">
        <v>9</v>
      </c>
      <c r="F23" s="79" t="s">
        <v>178</v>
      </c>
      <c r="G23" s="78">
        <v>0</v>
      </c>
      <c r="H23" s="96">
        <f t="shared" si="0"/>
        <v>0</v>
      </c>
    </row>
    <row r="24" spans="1:8" ht="25.5" customHeight="1">
      <c r="A24" s="76"/>
      <c r="B24" s="266" t="s">
        <v>21</v>
      </c>
      <c r="C24" s="266"/>
      <c r="D24" s="266"/>
      <c r="E24" s="84" t="s">
        <v>35</v>
      </c>
      <c r="F24" s="79" t="s">
        <v>178</v>
      </c>
      <c r="G24" s="78">
        <v>1.45</v>
      </c>
      <c r="H24" s="96">
        <f t="shared" si="0"/>
        <v>81235</v>
      </c>
    </row>
    <row r="25" spans="1:8" ht="15" customHeight="1">
      <c r="A25" s="71"/>
      <c r="B25" s="244" t="s">
        <v>191</v>
      </c>
      <c r="C25" s="245"/>
      <c r="D25" s="246"/>
      <c r="E25" s="87" t="s">
        <v>9</v>
      </c>
      <c r="F25" s="79"/>
      <c r="G25" s="78"/>
      <c r="H25" s="96"/>
    </row>
    <row r="26" spans="1:8" ht="26.25" customHeight="1">
      <c r="A26" s="71"/>
      <c r="B26" s="244" t="s">
        <v>192</v>
      </c>
      <c r="C26" s="245"/>
      <c r="D26" s="246"/>
      <c r="E26" s="84" t="s">
        <v>35</v>
      </c>
      <c r="F26" s="79"/>
      <c r="G26" s="78"/>
      <c r="H26" s="96"/>
    </row>
    <row r="27" spans="1:8" ht="15.75">
      <c r="A27" s="76"/>
      <c r="B27" s="247"/>
      <c r="C27" s="248"/>
      <c r="D27" s="249"/>
      <c r="E27" s="84"/>
      <c r="F27" s="79"/>
      <c r="G27" s="78"/>
      <c r="H27" s="96"/>
    </row>
    <row r="28" spans="1:8" ht="16.5" customHeight="1">
      <c r="A28" s="76"/>
      <c r="B28" s="247"/>
      <c r="C28" s="248"/>
      <c r="D28" s="249"/>
      <c r="E28" s="84"/>
      <c r="F28" s="79"/>
      <c r="G28" s="78"/>
      <c r="H28" s="96"/>
    </row>
    <row r="29" spans="1:8" ht="15.75" customHeight="1">
      <c r="A29" s="76"/>
      <c r="B29" s="258" t="s">
        <v>30</v>
      </c>
      <c r="C29" s="259"/>
      <c r="D29" s="260"/>
      <c r="E29" s="14"/>
      <c r="F29" s="79"/>
      <c r="G29" s="21">
        <f>SUM(G12:G28)</f>
        <v>13.039999999999997</v>
      </c>
      <c r="H29" s="96">
        <f t="shared" si="0"/>
        <v>730558</v>
      </c>
    </row>
    <row r="30" spans="1:8" ht="15.75">
      <c r="A30" s="71" t="s">
        <v>143</v>
      </c>
      <c r="B30" s="237" t="s">
        <v>180</v>
      </c>
      <c r="C30" s="238"/>
      <c r="D30" s="238"/>
      <c r="E30" s="239"/>
      <c r="F30" s="27" t="s">
        <v>181</v>
      </c>
      <c r="G30" s="24">
        <v>1.45</v>
      </c>
      <c r="H30" s="96">
        <f t="shared" si="0"/>
        <v>81235</v>
      </c>
    </row>
    <row r="31" spans="1:8" ht="15.75">
      <c r="A31" s="71"/>
      <c r="B31" s="261" t="s">
        <v>182</v>
      </c>
      <c r="C31" s="261"/>
      <c r="D31" s="261"/>
      <c r="E31" s="261"/>
      <c r="F31" s="261"/>
      <c r="G31" s="21">
        <f>SUM(G29:G30)</f>
        <v>14.489999999999997</v>
      </c>
      <c r="H31" s="97">
        <f t="shared" si="0"/>
        <v>811794</v>
      </c>
    </row>
    <row r="32" spans="1:8" ht="16.5" thickBot="1">
      <c r="A32" s="98">
        <v>3</v>
      </c>
      <c r="B32" s="262" t="s">
        <v>183</v>
      </c>
      <c r="C32" s="263"/>
      <c r="D32" s="264"/>
      <c r="E32" s="99"/>
      <c r="F32" s="100" t="s">
        <v>181</v>
      </c>
      <c r="G32" s="101">
        <v>0.76</v>
      </c>
      <c r="H32" s="102">
        <f>ROUND($E$2*G32*12,0)</f>
        <v>42579</v>
      </c>
    </row>
    <row r="33" ht="15.75">
      <c r="J33" t="s">
        <v>147</v>
      </c>
    </row>
    <row r="34" spans="2:6" ht="15.75">
      <c r="B34" s="68" t="s">
        <v>197</v>
      </c>
      <c r="C34" s="68"/>
      <c r="D34" s="68"/>
      <c r="E34" s="37"/>
      <c r="F34" s="37"/>
    </row>
    <row r="36" ht="15.75">
      <c r="D36" t="s">
        <v>147</v>
      </c>
    </row>
  </sheetData>
  <sheetProtection/>
  <mergeCells count="27">
    <mergeCell ref="B9:F9"/>
    <mergeCell ref="B10:F10"/>
    <mergeCell ref="A1:H1"/>
    <mergeCell ref="B6:D6"/>
    <mergeCell ref="B7:F7"/>
    <mergeCell ref="B8:F8"/>
    <mergeCell ref="B26:D26"/>
    <mergeCell ref="B15:D15"/>
    <mergeCell ref="B12:D12"/>
    <mergeCell ref="B13:D13"/>
    <mergeCell ref="B14:D14"/>
    <mergeCell ref="B20:D20"/>
    <mergeCell ref="B21:D21"/>
    <mergeCell ref="B32:D32"/>
    <mergeCell ref="B22:D22"/>
    <mergeCell ref="B16:D16"/>
    <mergeCell ref="B17:D17"/>
    <mergeCell ref="B18:D18"/>
    <mergeCell ref="B19:D19"/>
    <mergeCell ref="B28:D28"/>
    <mergeCell ref="B23:D23"/>
    <mergeCell ref="B24:D24"/>
    <mergeCell ref="B25:D25"/>
    <mergeCell ref="B27:D27"/>
    <mergeCell ref="B29:D29"/>
    <mergeCell ref="B30:E30"/>
    <mergeCell ref="B31:F31"/>
  </mergeCells>
  <printOptions/>
  <pageMargins left="0.9055118110236221" right="0" top="0.7874015748031497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F3" sqref="F1:F16384"/>
    </sheetView>
  </sheetViews>
  <sheetFormatPr defaultColWidth="9.00390625" defaultRowHeight="15.75"/>
  <cols>
    <col min="1" max="1" width="4.50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6.00390625" style="0" customWidth="1"/>
    <col min="6" max="6" width="22.50390625" style="0" hidden="1" customWidth="1"/>
    <col min="7" max="7" width="6.75390625" style="0" bestFit="1" customWidth="1"/>
    <col min="8" max="8" width="11.125" style="0" customWidth="1"/>
    <col min="9" max="9" width="11.50390625" style="0" customWidth="1"/>
    <col min="10" max="10" width="12.875" style="0" customWidth="1"/>
  </cols>
  <sheetData>
    <row r="1" spans="1:10" ht="94.5" customHeight="1">
      <c r="A1" s="230" t="s">
        <v>216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3" ht="56.25" customHeight="1">
      <c r="A2" s="231" t="s">
        <v>215</v>
      </c>
      <c r="B2" s="231"/>
      <c r="C2" s="231"/>
      <c r="D2" s="231"/>
      <c r="E2" s="231"/>
      <c r="F2" s="231"/>
      <c r="G2" s="231"/>
      <c r="H2" s="231"/>
      <c r="I2" s="231"/>
      <c r="J2" s="231"/>
      <c r="M2" t="s">
        <v>147</v>
      </c>
    </row>
    <row r="3" spans="2:9" ht="18.75">
      <c r="B3" s="1" t="s">
        <v>83</v>
      </c>
      <c r="C3" s="2"/>
      <c r="D3" s="2" t="s">
        <v>0</v>
      </c>
      <c r="E3" s="4">
        <v>4668.7</v>
      </c>
      <c r="F3" s="2"/>
      <c r="G3" s="81"/>
      <c r="I3" s="81">
        <v>0</v>
      </c>
    </row>
    <row r="4" spans="2:9" ht="15.75">
      <c r="B4" s="3" t="s">
        <v>1</v>
      </c>
      <c r="C4" s="28">
        <v>9</v>
      </c>
      <c r="D4" s="2" t="s">
        <v>2</v>
      </c>
      <c r="E4" s="4">
        <v>144</v>
      </c>
      <c r="F4" s="2"/>
      <c r="I4" t="s">
        <v>97</v>
      </c>
    </row>
    <row r="5" spans="2:9" ht="15.75">
      <c r="B5" s="3" t="s">
        <v>3</v>
      </c>
      <c r="C5" s="4">
        <v>1</v>
      </c>
      <c r="D5" s="2" t="s">
        <v>4</v>
      </c>
      <c r="E5" s="2" t="s">
        <v>16</v>
      </c>
      <c r="F5" s="2"/>
      <c r="G5" s="2"/>
      <c r="I5" s="2" t="s">
        <v>145</v>
      </c>
    </row>
    <row r="6" spans="2:9" ht="15.75">
      <c r="B6" s="3"/>
      <c r="C6" s="4"/>
      <c r="D6" s="2" t="s">
        <v>5</v>
      </c>
      <c r="E6" s="2" t="s">
        <v>16</v>
      </c>
      <c r="F6" s="2"/>
      <c r="I6" t="s">
        <v>146</v>
      </c>
    </row>
    <row r="7" spans="1:10" ht="42.75">
      <c r="A7" s="22" t="s">
        <v>60</v>
      </c>
      <c r="B7" s="255" t="s">
        <v>148</v>
      </c>
      <c r="C7" s="256"/>
      <c r="D7" s="257"/>
      <c r="E7" s="11" t="s">
        <v>6</v>
      </c>
      <c r="F7" s="11" t="s">
        <v>7</v>
      </c>
      <c r="G7" s="36" t="s">
        <v>22</v>
      </c>
      <c r="H7" s="241" t="s">
        <v>185</v>
      </c>
      <c r="I7" s="242"/>
      <c r="J7" s="243"/>
    </row>
    <row r="8" spans="1:10" ht="15.75">
      <c r="A8" s="23">
        <v>1</v>
      </c>
      <c r="B8" s="223"/>
      <c r="C8" s="224"/>
      <c r="D8" s="224"/>
      <c r="E8" s="224"/>
      <c r="F8" s="225"/>
      <c r="G8" s="104"/>
      <c r="H8" s="75" t="s">
        <v>186</v>
      </c>
      <c r="I8" s="106" t="s">
        <v>187</v>
      </c>
      <c r="J8" s="106" t="s">
        <v>188</v>
      </c>
    </row>
    <row r="9" spans="1:10" ht="15.75" customHeight="1">
      <c r="A9" s="23"/>
      <c r="B9" s="223" t="s">
        <v>149</v>
      </c>
      <c r="C9" s="224"/>
      <c r="D9" s="224"/>
      <c r="E9" s="224"/>
      <c r="F9" s="225"/>
      <c r="G9" s="75"/>
      <c r="H9" s="75"/>
      <c r="I9" s="50"/>
      <c r="J9" s="106"/>
    </row>
    <row r="10" spans="1:10" ht="30" customHeight="1">
      <c r="A10" s="82"/>
      <c r="B10" s="254" t="s">
        <v>150</v>
      </c>
      <c r="C10" s="254"/>
      <c r="D10" s="254"/>
      <c r="E10" s="254"/>
      <c r="F10" s="254"/>
      <c r="G10" s="15"/>
      <c r="H10" s="107">
        <v>775261.02</v>
      </c>
      <c r="I10" s="72"/>
      <c r="J10" s="51">
        <f>H10+I10</f>
        <v>775261.02</v>
      </c>
    </row>
    <row r="11" spans="1:10" ht="15.75" customHeight="1">
      <c r="A11" s="82"/>
      <c r="B11" s="254" t="s">
        <v>151</v>
      </c>
      <c r="C11" s="254"/>
      <c r="D11" s="254"/>
      <c r="E11" s="254"/>
      <c r="F11" s="254"/>
      <c r="G11" s="15"/>
      <c r="H11" s="108">
        <v>35143.74</v>
      </c>
      <c r="I11" s="72"/>
      <c r="J11" s="51">
        <f>H11+I11</f>
        <v>35143.74</v>
      </c>
    </row>
    <row r="12" spans="1:10" ht="15.75">
      <c r="A12" s="23"/>
      <c r="B12" s="254" t="s">
        <v>152</v>
      </c>
      <c r="C12" s="254"/>
      <c r="D12" s="254"/>
      <c r="E12" s="254"/>
      <c r="F12" s="254"/>
      <c r="G12" s="15"/>
      <c r="H12" s="83"/>
      <c r="I12" s="109">
        <v>0</v>
      </c>
      <c r="J12" s="51">
        <f>H12+I12</f>
        <v>0</v>
      </c>
    </row>
    <row r="13" spans="1:10" ht="18.75" customHeight="1">
      <c r="A13" s="23"/>
      <c r="B13" s="254" t="s">
        <v>189</v>
      </c>
      <c r="C13" s="254"/>
      <c r="D13" s="254"/>
      <c r="E13" s="254"/>
      <c r="F13" s="254"/>
      <c r="G13" s="15"/>
      <c r="H13" s="83"/>
      <c r="I13" s="109">
        <v>311205</v>
      </c>
      <c r="J13" s="51">
        <f>H13+I13</f>
        <v>311205</v>
      </c>
    </row>
    <row r="14" spans="1:10" ht="15.75">
      <c r="A14" s="23"/>
      <c r="B14" s="228" t="s">
        <v>153</v>
      </c>
      <c r="C14" s="228"/>
      <c r="D14" s="228"/>
      <c r="E14" s="228"/>
      <c r="F14" s="228"/>
      <c r="G14" s="15"/>
      <c r="H14" s="42">
        <f>SUM(H10:H12)</f>
        <v>810404.76</v>
      </c>
      <c r="I14" s="110">
        <f>SUM(I12:I13)</f>
        <v>311205</v>
      </c>
      <c r="J14" s="42">
        <f>SUM(J10:J13)</f>
        <v>1121609.76</v>
      </c>
    </row>
    <row r="15" spans="1:10" ht="15.75" customHeight="1">
      <c r="A15" s="23">
        <v>2</v>
      </c>
      <c r="B15" s="229" t="s">
        <v>65</v>
      </c>
      <c r="C15" s="229"/>
      <c r="D15" s="229"/>
      <c r="E15" s="229"/>
      <c r="F15" s="229"/>
      <c r="G15" s="15"/>
      <c r="H15" s="83"/>
      <c r="I15" s="72"/>
      <c r="J15" s="54"/>
    </row>
    <row r="16" spans="1:10" ht="15.75" customHeight="1">
      <c r="A16" s="23" t="s">
        <v>142</v>
      </c>
      <c r="B16" s="19" t="s">
        <v>66</v>
      </c>
      <c r="C16" s="19"/>
      <c r="D16" s="19"/>
      <c r="E16" s="19"/>
      <c r="F16" s="5"/>
      <c r="G16" s="105"/>
      <c r="H16" s="105"/>
      <c r="I16" s="103"/>
      <c r="J16" s="106"/>
    </row>
    <row r="17" spans="1:10" ht="27.75" customHeight="1">
      <c r="A17" s="26"/>
      <c r="B17" s="253" t="s">
        <v>217</v>
      </c>
      <c r="C17" s="253"/>
      <c r="D17" s="253"/>
      <c r="E17" s="84" t="s">
        <v>32</v>
      </c>
      <c r="F17" s="77" t="s">
        <v>24</v>
      </c>
      <c r="G17" s="78">
        <v>1.22</v>
      </c>
      <c r="H17" s="86">
        <f>ROUND(G17*$E$3*12,2)</f>
        <v>68349.77</v>
      </c>
      <c r="I17" s="111">
        <f>$I$12*0.08</f>
        <v>0</v>
      </c>
      <c r="J17" s="110">
        <f>SUM(H17:I17)</f>
        <v>68349.77</v>
      </c>
    </row>
    <row r="18" spans="1:10" ht="15.75" customHeight="1">
      <c r="A18" s="23"/>
      <c r="B18" s="251" t="s">
        <v>17</v>
      </c>
      <c r="C18" s="251"/>
      <c r="D18" s="251"/>
      <c r="E18" s="84" t="s">
        <v>32</v>
      </c>
      <c r="F18" s="77" t="s">
        <v>19</v>
      </c>
      <c r="G18" s="78">
        <v>0.28</v>
      </c>
      <c r="H18" s="86">
        <f>ROUND(G18*$E$3*12,2)</f>
        <v>15686.83</v>
      </c>
      <c r="I18" s="111">
        <f>$I$12*0.02</f>
        <v>0</v>
      </c>
      <c r="J18" s="110">
        <f>SUM(H18:I18)</f>
        <v>15686.83</v>
      </c>
    </row>
    <row r="19" spans="1:10" ht="15.75" customHeight="1">
      <c r="A19" s="23"/>
      <c r="B19" s="252" t="s">
        <v>23</v>
      </c>
      <c r="C19" s="252"/>
      <c r="D19" s="252"/>
      <c r="E19" s="87" t="s">
        <v>154</v>
      </c>
      <c r="F19" s="79" t="s">
        <v>20</v>
      </c>
      <c r="G19" s="78">
        <v>0.99</v>
      </c>
      <c r="H19" s="86">
        <f>J19-I19</f>
        <v>30980.29</v>
      </c>
      <c r="I19" s="111">
        <f>$I$12*0.07</f>
        <v>0</v>
      </c>
      <c r="J19" s="112">
        <v>30980.29</v>
      </c>
    </row>
    <row r="20" spans="1:10" ht="15.75" customHeight="1">
      <c r="A20" s="26"/>
      <c r="B20" s="253" t="s">
        <v>31</v>
      </c>
      <c r="C20" s="253"/>
      <c r="D20" s="253"/>
      <c r="E20" s="88" t="s">
        <v>9</v>
      </c>
      <c r="F20" s="80" t="s">
        <v>10</v>
      </c>
      <c r="G20" s="78">
        <v>0.51</v>
      </c>
      <c r="H20" s="86">
        <f>ROUND(G20*$E$3*12,2)</f>
        <v>28572.44</v>
      </c>
      <c r="I20" s="111">
        <f>$I$12*0.04</f>
        <v>0</v>
      </c>
      <c r="J20" s="110">
        <f>SUM(H20:I20)</f>
        <v>28572.44</v>
      </c>
    </row>
    <row r="21" spans="1:10" ht="65.25" customHeight="1">
      <c r="A21" s="23"/>
      <c r="B21" s="252" t="s">
        <v>27</v>
      </c>
      <c r="C21" s="252"/>
      <c r="D21" s="252"/>
      <c r="E21" s="87" t="s">
        <v>155</v>
      </c>
      <c r="F21" s="79" t="s">
        <v>25</v>
      </c>
      <c r="G21" s="78">
        <v>0.12</v>
      </c>
      <c r="H21" s="86">
        <f>J21-I21</f>
        <v>7443.7</v>
      </c>
      <c r="I21" s="111">
        <f>$I$12*0.01</f>
        <v>0</v>
      </c>
      <c r="J21" s="112">
        <v>7443.7</v>
      </c>
    </row>
    <row r="22" spans="1:10" ht="27.75" customHeight="1">
      <c r="A22" s="26"/>
      <c r="B22" s="252" t="s">
        <v>11</v>
      </c>
      <c r="C22" s="252"/>
      <c r="D22" s="252"/>
      <c r="E22" s="87" t="s">
        <v>9</v>
      </c>
      <c r="F22" s="79" t="s">
        <v>12</v>
      </c>
      <c r="G22" s="78">
        <v>2.22</v>
      </c>
      <c r="H22" s="86">
        <f>J22-I22</f>
        <v>124374.168</v>
      </c>
      <c r="I22" s="111">
        <f>$I$12*0.15</f>
        <v>0</v>
      </c>
      <c r="J22" s="112">
        <f>G22*E3*12</f>
        <v>124374.168</v>
      </c>
    </row>
    <row r="23" spans="1:10" ht="15.75" customHeight="1">
      <c r="A23" s="26"/>
      <c r="B23" s="252" t="s">
        <v>26</v>
      </c>
      <c r="C23" s="250"/>
      <c r="D23" s="250"/>
      <c r="E23" s="89" t="s">
        <v>13</v>
      </c>
      <c r="F23" s="74" t="s">
        <v>14</v>
      </c>
      <c r="G23" s="78">
        <v>0.05</v>
      </c>
      <c r="H23" s="86">
        <f>J23-I23</f>
        <v>2071.8</v>
      </c>
      <c r="I23" s="111">
        <f>$I$12*0.003</f>
        <v>0</v>
      </c>
      <c r="J23" s="112">
        <v>2071.8</v>
      </c>
    </row>
    <row r="24" spans="1:10" ht="27.75" customHeight="1">
      <c r="A24" s="23"/>
      <c r="B24" s="252" t="s">
        <v>71</v>
      </c>
      <c r="C24" s="252"/>
      <c r="D24" s="252"/>
      <c r="E24" s="84" t="s">
        <v>35</v>
      </c>
      <c r="F24" s="113" t="s">
        <v>178</v>
      </c>
      <c r="G24" s="78">
        <v>2.15</v>
      </c>
      <c r="H24" s="86">
        <f aca="true" t="shared" si="0" ref="H24:H29">ROUND(G24*$E$3*12,2)</f>
        <v>120452.46</v>
      </c>
      <c r="I24" s="111">
        <f>$I$12*0.19</f>
        <v>0</v>
      </c>
      <c r="J24" s="110">
        <f aca="true" t="shared" si="1" ref="J24:J29">SUM(H24:I24)</f>
        <v>120452.46</v>
      </c>
    </row>
    <row r="25" spans="1:10" ht="25.5" customHeight="1">
      <c r="A25" s="23"/>
      <c r="B25" s="251" t="s">
        <v>15</v>
      </c>
      <c r="C25" s="251"/>
      <c r="D25" s="251"/>
      <c r="E25" s="84" t="s">
        <v>35</v>
      </c>
      <c r="F25" s="113" t="s">
        <v>178</v>
      </c>
      <c r="G25" s="78">
        <v>0.53</v>
      </c>
      <c r="H25" s="85">
        <f t="shared" si="0"/>
        <v>29692.93</v>
      </c>
      <c r="I25" s="111">
        <v>0</v>
      </c>
      <c r="J25" s="110">
        <f t="shared" si="1"/>
        <v>29692.93</v>
      </c>
    </row>
    <row r="26" spans="1:13" ht="27.75" customHeight="1">
      <c r="A26" s="23"/>
      <c r="B26" s="210" t="s">
        <v>36</v>
      </c>
      <c r="C26" s="245"/>
      <c r="D26" s="246"/>
      <c r="E26" s="84" t="s">
        <v>35</v>
      </c>
      <c r="F26" s="113" t="s">
        <v>178</v>
      </c>
      <c r="G26" s="90">
        <v>3.52</v>
      </c>
      <c r="H26" s="85">
        <f t="shared" si="0"/>
        <v>197205.89</v>
      </c>
      <c r="I26" s="114">
        <f>$I$12*0.18</f>
        <v>0</v>
      </c>
      <c r="J26" s="110">
        <f t="shared" si="1"/>
        <v>197205.89</v>
      </c>
      <c r="M26" t="s">
        <v>147</v>
      </c>
    </row>
    <row r="27" spans="1:10" ht="25.5" customHeight="1">
      <c r="A27" s="26"/>
      <c r="B27" s="252" t="s">
        <v>156</v>
      </c>
      <c r="C27" s="252"/>
      <c r="D27" s="252"/>
      <c r="E27" s="84" t="s">
        <v>35</v>
      </c>
      <c r="F27" s="113" t="s">
        <v>178</v>
      </c>
      <c r="G27" s="90">
        <v>0</v>
      </c>
      <c r="H27" s="85">
        <f t="shared" si="0"/>
        <v>0</v>
      </c>
      <c r="I27" s="114">
        <f>$I$12*0.02</f>
        <v>0</v>
      </c>
      <c r="J27" s="110">
        <f t="shared" si="1"/>
        <v>0</v>
      </c>
    </row>
    <row r="28" spans="1:10" ht="15.75" customHeight="1">
      <c r="A28" s="23"/>
      <c r="B28" s="252" t="s">
        <v>157</v>
      </c>
      <c r="C28" s="252"/>
      <c r="D28" s="252"/>
      <c r="E28" s="87" t="s">
        <v>9</v>
      </c>
      <c r="F28" s="113" t="s">
        <v>178</v>
      </c>
      <c r="G28" s="90">
        <v>0</v>
      </c>
      <c r="H28" s="85">
        <f t="shared" si="0"/>
        <v>0</v>
      </c>
      <c r="I28" s="114">
        <f>$I$12*0.02</f>
        <v>0</v>
      </c>
      <c r="J28" s="110">
        <f t="shared" si="1"/>
        <v>0</v>
      </c>
    </row>
    <row r="29" spans="1:10" ht="24" customHeight="1">
      <c r="A29" s="23"/>
      <c r="B29" s="250" t="s">
        <v>21</v>
      </c>
      <c r="C29" s="250"/>
      <c r="D29" s="250"/>
      <c r="E29" s="84" t="s">
        <v>35</v>
      </c>
      <c r="F29" s="113" t="s">
        <v>178</v>
      </c>
      <c r="G29" s="74">
        <v>1.45</v>
      </c>
      <c r="H29" s="86">
        <f t="shared" si="0"/>
        <v>81235.38</v>
      </c>
      <c r="I29" s="111">
        <f>$I$12*0.1</f>
        <v>0</v>
      </c>
      <c r="J29" s="110">
        <f t="shared" si="1"/>
        <v>81235.38</v>
      </c>
    </row>
    <row r="30" spans="1:10" ht="15.75">
      <c r="A30" s="23"/>
      <c r="B30" s="247"/>
      <c r="C30" s="248"/>
      <c r="D30" s="249"/>
      <c r="E30" s="87"/>
      <c r="F30" s="113"/>
      <c r="G30" s="74"/>
      <c r="H30" s="85"/>
      <c r="I30" s="109"/>
      <c r="J30" s="115"/>
    </row>
    <row r="31" spans="1:10" ht="15.75" customHeight="1">
      <c r="A31" s="23"/>
      <c r="B31" s="247"/>
      <c r="C31" s="248"/>
      <c r="D31" s="249"/>
      <c r="E31" s="87"/>
      <c r="F31" s="113"/>
      <c r="G31" s="74"/>
      <c r="H31" s="85"/>
      <c r="I31" s="109"/>
      <c r="J31" s="115"/>
    </row>
    <row r="32" spans="1:10" ht="15.75">
      <c r="A32" s="23"/>
      <c r="B32" s="208" t="s">
        <v>30</v>
      </c>
      <c r="C32" s="208"/>
      <c r="D32" s="208"/>
      <c r="E32" s="14"/>
      <c r="F32" s="113"/>
      <c r="G32" s="21">
        <f>SUM(G17:G29)</f>
        <v>13.039999999999997</v>
      </c>
      <c r="H32" s="40">
        <f>SUM(H17:H31)</f>
        <v>706065.658</v>
      </c>
      <c r="I32" s="116">
        <f>SUM(I17:I31)</f>
        <v>0</v>
      </c>
      <c r="J32" s="40">
        <f>SUM(J17:J31)</f>
        <v>706065.658</v>
      </c>
    </row>
    <row r="33" spans="1:10" ht="15.75">
      <c r="A33" s="23"/>
      <c r="B33" s="244" t="s">
        <v>191</v>
      </c>
      <c r="C33" s="245"/>
      <c r="D33" s="246"/>
      <c r="E33" s="87" t="s">
        <v>9</v>
      </c>
      <c r="F33" s="113"/>
      <c r="G33" s="74"/>
      <c r="H33" s="85"/>
      <c r="I33" s="109"/>
      <c r="J33" s="115"/>
    </row>
    <row r="34" spans="1:10" ht="25.5">
      <c r="A34" s="23"/>
      <c r="B34" s="244" t="s">
        <v>192</v>
      </c>
      <c r="C34" s="245"/>
      <c r="D34" s="246"/>
      <c r="E34" s="84" t="s">
        <v>35</v>
      </c>
      <c r="F34" s="113"/>
      <c r="G34" s="74"/>
      <c r="H34" s="85"/>
      <c r="I34" s="109"/>
      <c r="J34" s="115"/>
    </row>
    <row r="35" spans="1:10" ht="15.75">
      <c r="A35" s="23"/>
      <c r="B35" s="258"/>
      <c r="C35" s="259"/>
      <c r="D35" s="259"/>
      <c r="E35" s="133"/>
      <c r="F35" s="113"/>
      <c r="G35" s="21"/>
      <c r="H35" s="40"/>
      <c r="I35" s="116"/>
      <c r="J35" s="40"/>
    </row>
    <row r="36" spans="1:12" ht="15.75" customHeight="1">
      <c r="A36" s="23" t="s">
        <v>143</v>
      </c>
      <c r="B36" s="237" t="s">
        <v>158</v>
      </c>
      <c r="C36" s="238"/>
      <c r="D36" s="238"/>
      <c r="E36" s="239"/>
      <c r="F36" s="113" t="s">
        <v>178</v>
      </c>
      <c r="G36" s="24">
        <f>H36/E3/12</f>
        <v>2.657770542834908</v>
      </c>
      <c r="H36" s="31">
        <v>148900</v>
      </c>
      <c r="I36" s="117">
        <v>0</v>
      </c>
      <c r="J36" s="110">
        <f>SUM(H36:I36)</f>
        <v>148900</v>
      </c>
      <c r="L36" t="s">
        <v>147</v>
      </c>
    </row>
    <row r="37" spans="1:10" ht="15.75" customHeight="1">
      <c r="A37" s="25"/>
      <c r="B37" s="209" t="s">
        <v>69</v>
      </c>
      <c r="C37" s="209"/>
      <c r="D37" s="209"/>
      <c r="E37" s="209"/>
      <c r="F37" s="209"/>
      <c r="G37" s="21">
        <f>SUM(G32:G36)</f>
        <v>15.697770542834906</v>
      </c>
      <c r="H37" s="91">
        <f>SUM(H32:H36)</f>
        <v>854965.658</v>
      </c>
      <c r="I37" s="116">
        <f>SUM(I32:I36)</f>
        <v>0</v>
      </c>
      <c r="J37" s="116">
        <f>SUM(J32:J36)</f>
        <v>854965.658</v>
      </c>
    </row>
    <row r="38" spans="1:10" ht="15.75">
      <c r="A38" s="23" t="s">
        <v>144</v>
      </c>
      <c r="B38" s="240" t="s">
        <v>159</v>
      </c>
      <c r="C38" s="240"/>
      <c r="D38" s="240"/>
      <c r="E38" s="240"/>
      <c r="F38" s="240"/>
      <c r="G38" s="92"/>
      <c r="H38" s="93">
        <v>0</v>
      </c>
      <c r="I38" s="112">
        <v>0</v>
      </c>
      <c r="J38" s="118">
        <f>SUM(H38:I38)</f>
        <v>0</v>
      </c>
    </row>
    <row r="39" spans="1:10" ht="15.75" customHeight="1">
      <c r="A39" s="25"/>
      <c r="B39" s="209" t="s">
        <v>160</v>
      </c>
      <c r="C39" s="209"/>
      <c r="D39" s="209"/>
      <c r="E39" s="209"/>
      <c r="F39" s="209"/>
      <c r="G39" s="21">
        <f>SUM(G37:G38)</f>
        <v>15.697770542834906</v>
      </c>
      <c r="H39" s="91">
        <f>SUM(H37:H38)</f>
        <v>854965.658</v>
      </c>
      <c r="I39" s="116">
        <f>SUM(I37:I38)</f>
        <v>0</v>
      </c>
      <c r="J39" s="116">
        <f>SUM(J37:J38)</f>
        <v>854965.658</v>
      </c>
    </row>
    <row r="40" spans="1:10" ht="15.75">
      <c r="A40" s="23">
        <v>3</v>
      </c>
      <c r="B40" s="210" t="s">
        <v>218</v>
      </c>
      <c r="C40" s="234"/>
      <c r="D40" s="234"/>
      <c r="E40" s="234"/>
      <c r="F40" s="234"/>
      <c r="G40" s="235"/>
      <c r="H40" s="94">
        <f>H14-H39</f>
        <v>-44560.898000000045</v>
      </c>
      <c r="I40" s="86">
        <f>I14-I39</f>
        <v>311205</v>
      </c>
      <c r="J40" s="118">
        <f>J14-J39</f>
        <v>266644.10199999996</v>
      </c>
    </row>
    <row r="42" spans="2:9" ht="15.75">
      <c r="B42" s="37" t="s">
        <v>77</v>
      </c>
      <c r="F42" s="37" t="s">
        <v>80</v>
      </c>
      <c r="H42" s="37" t="s">
        <v>80</v>
      </c>
      <c r="I42" s="37"/>
    </row>
    <row r="43" spans="2:9" ht="15.75">
      <c r="B43" s="37"/>
      <c r="F43" s="37"/>
      <c r="H43" s="37"/>
      <c r="I43" s="37"/>
    </row>
    <row r="44" spans="2:9" ht="15.75">
      <c r="B44" s="37" t="s">
        <v>81</v>
      </c>
      <c r="C44" s="37"/>
      <c r="D44" s="37"/>
      <c r="E44" s="37"/>
      <c r="F44" s="37" t="s">
        <v>84</v>
      </c>
      <c r="H44" s="37" t="s">
        <v>84</v>
      </c>
      <c r="I44" s="37"/>
    </row>
    <row r="45" spans="2:4" ht="15.75">
      <c r="B45" s="236" t="s">
        <v>86</v>
      </c>
      <c r="C45" s="236"/>
      <c r="D45" s="236"/>
    </row>
  </sheetData>
  <sheetProtection/>
  <mergeCells count="37">
    <mergeCell ref="B40:G40"/>
    <mergeCell ref="B45:D45"/>
    <mergeCell ref="B33:D33"/>
    <mergeCell ref="B34:D34"/>
    <mergeCell ref="B35:D35"/>
    <mergeCell ref="B36:E36"/>
    <mergeCell ref="B37:F37"/>
    <mergeCell ref="B38:F38"/>
    <mergeCell ref="B39:F39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27:D27"/>
    <mergeCell ref="B28:D28"/>
    <mergeCell ref="B12:F12"/>
    <mergeCell ref="B13:F13"/>
    <mergeCell ref="B14:F14"/>
    <mergeCell ref="B15:F15"/>
    <mergeCell ref="B17:D17"/>
    <mergeCell ref="B18:D18"/>
    <mergeCell ref="B19:D19"/>
    <mergeCell ref="B20:D20"/>
    <mergeCell ref="A1:J1"/>
    <mergeCell ref="A2:J2"/>
    <mergeCell ref="B7:D7"/>
    <mergeCell ref="H7:J7"/>
    <mergeCell ref="B8:F8"/>
    <mergeCell ref="B9:F9"/>
    <mergeCell ref="B10:F10"/>
    <mergeCell ref="B11:F11"/>
  </mergeCells>
  <printOptions/>
  <pageMargins left="0.83" right="0" top="0" bottom="0" header="0.5118110236220472" footer="0.5118110236220472"/>
  <pageSetup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9">
      <selection activeCell="I42" sqref="I42"/>
    </sheetView>
  </sheetViews>
  <sheetFormatPr defaultColWidth="9.00390625" defaultRowHeight="15.75"/>
  <cols>
    <col min="1" max="1" width="5.00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9.50390625" style="0" customWidth="1"/>
    <col min="8" max="8" width="12.125" style="0" customWidth="1"/>
    <col min="9" max="9" width="9.875" style="0" bestFit="1" customWidth="1"/>
  </cols>
  <sheetData>
    <row r="1" spans="1:8" ht="78" customHeight="1">
      <c r="A1" s="230" t="s">
        <v>223</v>
      </c>
      <c r="B1" s="230"/>
      <c r="C1" s="230"/>
      <c r="D1" s="230"/>
      <c r="E1" s="230"/>
      <c r="F1" s="230"/>
      <c r="G1" s="230"/>
      <c r="H1" s="230"/>
    </row>
    <row r="2" spans="2:6" ht="18.75">
      <c r="B2" s="1" t="s">
        <v>83</v>
      </c>
      <c r="C2" s="2"/>
      <c r="D2" s="2" t="s">
        <v>0</v>
      </c>
      <c r="E2" s="4">
        <v>4668.7</v>
      </c>
      <c r="F2" s="2"/>
    </row>
    <row r="3" spans="2:6" ht="15.75">
      <c r="B3" s="3" t="s">
        <v>1</v>
      </c>
      <c r="C3" s="28">
        <v>9</v>
      </c>
      <c r="D3" s="2" t="s">
        <v>2</v>
      </c>
      <c r="E3" s="4">
        <v>144</v>
      </c>
      <c r="F3" s="2"/>
    </row>
    <row r="4" spans="2:7" ht="15.75">
      <c r="B4" s="3" t="s">
        <v>3</v>
      </c>
      <c r="C4" s="4">
        <v>1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51.75" customHeight="1">
      <c r="A6" s="119" t="s">
        <v>60</v>
      </c>
      <c r="B6" s="270" t="s">
        <v>148</v>
      </c>
      <c r="C6" s="271"/>
      <c r="D6" s="272"/>
      <c r="E6" s="70" t="s">
        <v>6</v>
      </c>
      <c r="F6" s="70" t="s">
        <v>7</v>
      </c>
      <c r="G6" s="138" t="s">
        <v>196</v>
      </c>
      <c r="H6" s="139" t="s">
        <v>137</v>
      </c>
    </row>
    <row r="7" spans="1:8" ht="15.75" customHeight="1">
      <c r="A7" s="71">
        <v>1</v>
      </c>
      <c r="B7" s="273" t="s">
        <v>138</v>
      </c>
      <c r="C7" s="273"/>
      <c r="D7" s="273"/>
      <c r="E7" s="273"/>
      <c r="F7" s="273"/>
      <c r="G7" s="72"/>
      <c r="H7" s="73"/>
    </row>
    <row r="8" spans="1:8" ht="15.75" customHeight="1">
      <c r="A8" s="71"/>
      <c r="B8" s="228" t="s">
        <v>177</v>
      </c>
      <c r="C8" s="228"/>
      <c r="D8" s="228"/>
      <c r="E8" s="228"/>
      <c r="F8" s="228"/>
      <c r="G8" s="24">
        <f>G34</f>
        <v>14.920000000000002</v>
      </c>
      <c r="H8" s="134">
        <f>ROUND($E$2*G8*12,2)</f>
        <v>835884.05</v>
      </c>
    </row>
    <row r="9" spans="1:8" ht="15.75" customHeight="1">
      <c r="A9" s="71"/>
      <c r="B9" s="269" t="s">
        <v>139</v>
      </c>
      <c r="C9" s="269"/>
      <c r="D9" s="269"/>
      <c r="E9" s="269"/>
      <c r="F9" s="269"/>
      <c r="G9" s="23">
        <v>0.78</v>
      </c>
      <c r="H9" s="134">
        <f>ROUND($E$2*G9*12,2)</f>
        <v>43699.03</v>
      </c>
    </row>
    <row r="10" spans="1:8" ht="18.75" customHeight="1">
      <c r="A10" s="71">
        <v>2</v>
      </c>
      <c r="B10" s="229" t="s">
        <v>65</v>
      </c>
      <c r="C10" s="229"/>
      <c r="D10" s="229"/>
      <c r="E10" s="229"/>
      <c r="F10" s="229"/>
      <c r="G10" s="74"/>
      <c r="H10" s="134"/>
    </row>
    <row r="11" spans="1:8" ht="15.75" customHeight="1">
      <c r="A11" s="71" t="s">
        <v>142</v>
      </c>
      <c r="B11" s="19" t="s">
        <v>66</v>
      </c>
      <c r="C11" s="19"/>
      <c r="D11" s="19"/>
      <c r="E11" s="19"/>
      <c r="F11" s="5"/>
      <c r="G11" s="75"/>
      <c r="H11" s="134"/>
    </row>
    <row r="12" spans="1:8" ht="15" customHeight="1">
      <c r="A12" s="76"/>
      <c r="B12" s="268" t="s">
        <v>190</v>
      </c>
      <c r="C12" s="268"/>
      <c r="D12" s="268"/>
      <c r="E12" s="84" t="s">
        <v>32</v>
      </c>
      <c r="F12" s="77" t="s">
        <v>24</v>
      </c>
      <c r="G12" s="78">
        <v>1.26</v>
      </c>
      <c r="H12" s="135">
        <f aca="true" t="shared" si="0" ref="H12:H24">ROUND($E$2*G12*12,2)</f>
        <v>70590.74</v>
      </c>
    </row>
    <row r="13" spans="1:8" ht="15" customHeight="1">
      <c r="A13" s="76"/>
      <c r="B13" s="268" t="s">
        <v>17</v>
      </c>
      <c r="C13" s="268"/>
      <c r="D13" s="268"/>
      <c r="E13" s="84" t="s">
        <v>32</v>
      </c>
      <c r="F13" s="77" t="s">
        <v>19</v>
      </c>
      <c r="G13" s="78">
        <v>0.29</v>
      </c>
      <c r="H13" s="135">
        <f t="shared" si="0"/>
        <v>16247.08</v>
      </c>
    </row>
    <row r="14" spans="1:8" ht="15" customHeight="1">
      <c r="A14" s="76"/>
      <c r="B14" s="265" t="s">
        <v>23</v>
      </c>
      <c r="C14" s="265"/>
      <c r="D14" s="265"/>
      <c r="E14" s="87" t="s">
        <v>154</v>
      </c>
      <c r="F14" s="79" t="s">
        <v>20</v>
      </c>
      <c r="G14" s="78">
        <v>1.02</v>
      </c>
      <c r="H14" s="135">
        <f t="shared" si="0"/>
        <v>57144.89</v>
      </c>
    </row>
    <row r="15" spans="1:8" ht="15" customHeight="1">
      <c r="A15" s="76"/>
      <c r="B15" s="267" t="s">
        <v>31</v>
      </c>
      <c r="C15" s="267"/>
      <c r="D15" s="267"/>
      <c r="E15" s="88" t="s">
        <v>9</v>
      </c>
      <c r="F15" s="80" t="s">
        <v>10</v>
      </c>
      <c r="G15" s="78">
        <v>0.53</v>
      </c>
      <c r="H15" s="135">
        <f t="shared" si="0"/>
        <v>29692.93</v>
      </c>
    </row>
    <row r="16" spans="1:8" ht="50.25" customHeight="1">
      <c r="A16" s="76"/>
      <c r="B16" s="265" t="s">
        <v>27</v>
      </c>
      <c r="C16" s="265"/>
      <c r="D16" s="265"/>
      <c r="E16" s="87" t="s">
        <v>155</v>
      </c>
      <c r="F16" s="79" t="s">
        <v>25</v>
      </c>
      <c r="G16" s="78">
        <v>0.12</v>
      </c>
      <c r="H16" s="135">
        <f t="shared" si="0"/>
        <v>6722.93</v>
      </c>
    </row>
    <row r="17" spans="1:8" ht="15" customHeight="1">
      <c r="A17" s="76"/>
      <c r="B17" s="265" t="s">
        <v>11</v>
      </c>
      <c r="C17" s="265"/>
      <c r="D17" s="265"/>
      <c r="E17" s="87" t="s">
        <v>9</v>
      </c>
      <c r="F17" s="79" t="s">
        <v>12</v>
      </c>
      <c r="G17" s="78">
        <v>2.29</v>
      </c>
      <c r="H17" s="135">
        <f t="shared" si="0"/>
        <v>128295.88</v>
      </c>
    </row>
    <row r="18" spans="1:8" ht="15" customHeight="1">
      <c r="A18" s="76"/>
      <c r="B18" s="265" t="s">
        <v>26</v>
      </c>
      <c r="C18" s="266"/>
      <c r="D18" s="266"/>
      <c r="E18" s="89" t="s">
        <v>13</v>
      </c>
      <c r="F18" s="74" t="s">
        <v>140</v>
      </c>
      <c r="G18" s="78">
        <v>0.05</v>
      </c>
      <c r="H18" s="135">
        <f t="shared" si="0"/>
        <v>2801.22</v>
      </c>
    </row>
    <row r="19" spans="1:8" ht="26.25" customHeight="1">
      <c r="A19" s="76"/>
      <c r="B19" s="265" t="s">
        <v>71</v>
      </c>
      <c r="C19" s="265"/>
      <c r="D19" s="265"/>
      <c r="E19" s="84" t="s">
        <v>35</v>
      </c>
      <c r="F19" s="79" t="s">
        <v>178</v>
      </c>
      <c r="G19" s="78">
        <v>2.21</v>
      </c>
      <c r="H19" s="135">
        <f t="shared" si="0"/>
        <v>123813.92</v>
      </c>
    </row>
    <row r="20" spans="1:8" ht="54" customHeight="1">
      <c r="A20" s="76"/>
      <c r="B20" s="268" t="s">
        <v>15</v>
      </c>
      <c r="C20" s="268"/>
      <c r="D20" s="268"/>
      <c r="E20" s="84" t="s">
        <v>141</v>
      </c>
      <c r="F20" s="79" t="s">
        <v>178</v>
      </c>
      <c r="G20" s="78">
        <v>0.55</v>
      </c>
      <c r="H20" s="135">
        <f t="shared" si="0"/>
        <v>30813.42</v>
      </c>
    </row>
    <row r="21" spans="1:8" ht="29.25" customHeight="1">
      <c r="A21" s="76"/>
      <c r="B21" s="265" t="s">
        <v>36</v>
      </c>
      <c r="C21" s="266"/>
      <c r="D21" s="266"/>
      <c r="E21" s="84" t="s">
        <v>35</v>
      </c>
      <c r="F21" s="79" t="s">
        <v>178</v>
      </c>
      <c r="G21" s="78">
        <f>3.62-G22-G23</f>
        <v>3.62</v>
      </c>
      <c r="H21" s="135">
        <f t="shared" si="0"/>
        <v>202808.33</v>
      </c>
    </row>
    <row r="22" spans="1:8" ht="15" customHeight="1">
      <c r="A22" s="76"/>
      <c r="B22" s="265" t="s">
        <v>179</v>
      </c>
      <c r="C22" s="265"/>
      <c r="D22" s="265"/>
      <c r="E22" s="87" t="s">
        <v>9</v>
      </c>
      <c r="F22" s="79" t="s">
        <v>178</v>
      </c>
      <c r="G22" s="78">
        <v>0</v>
      </c>
      <c r="H22" s="135">
        <f t="shared" si="0"/>
        <v>0</v>
      </c>
    </row>
    <row r="23" spans="1:8" ht="15" customHeight="1">
      <c r="A23" s="76"/>
      <c r="B23" s="265" t="s">
        <v>157</v>
      </c>
      <c r="C23" s="265"/>
      <c r="D23" s="265"/>
      <c r="E23" s="87" t="s">
        <v>9</v>
      </c>
      <c r="F23" s="79" t="s">
        <v>178</v>
      </c>
      <c r="G23" s="78">
        <v>0</v>
      </c>
      <c r="H23" s="135">
        <f t="shared" si="0"/>
        <v>0</v>
      </c>
    </row>
    <row r="24" spans="1:8" ht="25.5" customHeight="1">
      <c r="A24" s="76"/>
      <c r="B24" s="266" t="s">
        <v>21</v>
      </c>
      <c r="C24" s="266"/>
      <c r="D24" s="266"/>
      <c r="E24" s="84" t="s">
        <v>35</v>
      </c>
      <c r="F24" s="79" t="s">
        <v>178</v>
      </c>
      <c r="G24" s="78">
        <v>1.49</v>
      </c>
      <c r="H24" s="135">
        <f t="shared" si="0"/>
        <v>83476.36</v>
      </c>
    </row>
    <row r="25" spans="1:8" ht="15" customHeight="1">
      <c r="A25" s="71"/>
      <c r="B25" s="244" t="s">
        <v>191</v>
      </c>
      <c r="C25" s="245"/>
      <c r="D25" s="246"/>
      <c r="E25" s="87" t="s">
        <v>9</v>
      </c>
      <c r="F25" s="79"/>
      <c r="G25" s="78"/>
      <c r="H25" s="135"/>
    </row>
    <row r="26" spans="1:8" ht="26.25" customHeight="1">
      <c r="A26" s="71"/>
      <c r="B26" s="244" t="s">
        <v>192</v>
      </c>
      <c r="C26" s="245"/>
      <c r="D26" s="246"/>
      <c r="E26" s="84" t="s">
        <v>35</v>
      </c>
      <c r="F26" s="79"/>
      <c r="G26" s="78"/>
      <c r="H26" s="135"/>
    </row>
    <row r="27" spans="1:8" ht="15.75">
      <c r="A27" s="76"/>
      <c r="B27" s="247"/>
      <c r="C27" s="248"/>
      <c r="D27" s="249"/>
      <c r="E27" s="84"/>
      <c r="F27" s="79"/>
      <c r="G27" s="78"/>
      <c r="H27" s="135"/>
    </row>
    <row r="28" spans="1:9" ht="16.5" customHeight="1">
      <c r="A28" s="76"/>
      <c r="B28" s="247"/>
      <c r="C28" s="248"/>
      <c r="D28" s="249"/>
      <c r="E28" s="84"/>
      <c r="F28" s="79"/>
      <c r="G28" s="78"/>
      <c r="H28" s="135"/>
      <c r="I28" t="s">
        <v>147</v>
      </c>
    </row>
    <row r="29" spans="1:8" ht="15.75" customHeight="1">
      <c r="A29" s="76"/>
      <c r="B29" s="258" t="s">
        <v>30</v>
      </c>
      <c r="C29" s="259"/>
      <c r="D29" s="260"/>
      <c r="E29" s="14"/>
      <c r="F29" s="79"/>
      <c r="G29" s="21">
        <f>SUM(G12:G28)</f>
        <v>13.430000000000001</v>
      </c>
      <c r="H29" s="135">
        <f>ROUND($E$2*G29*12,2)</f>
        <v>752407.69</v>
      </c>
    </row>
    <row r="30" spans="1:8" ht="15.75" customHeight="1">
      <c r="A30" s="76"/>
      <c r="B30" s="276" t="s">
        <v>219</v>
      </c>
      <c r="C30" s="277"/>
      <c r="D30" s="277"/>
      <c r="E30" s="14"/>
      <c r="F30" s="79"/>
      <c r="G30" s="21">
        <v>0</v>
      </c>
      <c r="H30" s="135">
        <f>ROUND($E$2*G30*12,2)</f>
        <v>0</v>
      </c>
    </row>
    <row r="31" spans="1:8" ht="15.75" customHeight="1">
      <c r="A31" s="76"/>
      <c r="B31" s="258"/>
      <c r="C31" s="259"/>
      <c r="D31" s="259"/>
      <c r="E31" s="14"/>
      <c r="F31" s="79"/>
      <c r="G31" s="21"/>
      <c r="H31" s="135"/>
    </row>
    <row r="32" spans="1:8" ht="15.75" customHeight="1">
      <c r="A32" s="76"/>
      <c r="B32" s="258"/>
      <c r="C32" s="259"/>
      <c r="D32" s="259"/>
      <c r="E32" s="14"/>
      <c r="F32" s="79"/>
      <c r="G32" s="21"/>
      <c r="H32" s="135"/>
    </row>
    <row r="33" spans="1:8" ht="15.75" customHeight="1">
      <c r="A33" s="71" t="s">
        <v>143</v>
      </c>
      <c r="B33" s="237" t="s">
        <v>226</v>
      </c>
      <c r="C33" s="238"/>
      <c r="D33" s="238"/>
      <c r="E33" s="147" t="s">
        <v>227</v>
      </c>
      <c r="F33" s="27" t="s">
        <v>181</v>
      </c>
      <c r="G33" s="24">
        <v>1.49</v>
      </c>
      <c r="H33" s="135">
        <f>ROUND($E$2*G33*12,2)</f>
        <v>83476.36</v>
      </c>
    </row>
    <row r="34" spans="1:8" ht="15.75">
      <c r="A34" s="71"/>
      <c r="B34" s="261" t="s">
        <v>182</v>
      </c>
      <c r="C34" s="261"/>
      <c r="D34" s="261"/>
      <c r="E34" s="261"/>
      <c r="F34" s="261"/>
      <c r="G34" s="21">
        <f>SUM(G29:G33)</f>
        <v>14.920000000000002</v>
      </c>
      <c r="H34" s="136">
        <f>ROUND($E$2*G34*12,2)</f>
        <v>835884.05</v>
      </c>
    </row>
    <row r="35" spans="1:8" ht="16.5" thickBot="1">
      <c r="A35" s="98">
        <v>3</v>
      </c>
      <c r="B35" s="262" t="s">
        <v>220</v>
      </c>
      <c r="C35" s="263"/>
      <c r="D35" s="264"/>
      <c r="E35" s="148" t="s">
        <v>227</v>
      </c>
      <c r="F35" s="100" t="s">
        <v>181</v>
      </c>
      <c r="G35" s="101">
        <v>0.78</v>
      </c>
      <c r="H35" s="137">
        <f>ROUND($E$2*G35*12,2)</f>
        <v>43699.03</v>
      </c>
    </row>
    <row r="36" spans="1:8" ht="15.75">
      <c r="A36" s="140"/>
      <c r="B36" s="141"/>
      <c r="C36" s="141"/>
      <c r="D36" s="141"/>
      <c r="E36" s="141"/>
      <c r="F36" s="142"/>
      <c r="G36" s="143"/>
      <c r="H36" s="144"/>
    </row>
    <row r="37" spans="1:8" ht="15.75">
      <c r="A37" s="140"/>
      <c r="B37" s="275" t="s">
        <v>222</v>
      </c>
      <c r="C37" s="275"/>
      <c r="D37" s="275"/>
      <c r="E37" s="275"/>
      <c r="F37" s="275"/>
      <c r="G37" s="275"/>
      <c r="H37" s="275"/>
    </row>
    <row r="38" spans="1:10" ht="15.75" customHeight="1">
      <c r="A38" s="140"/>
      <c r="B38" s="274" t="s">
        <v>224</v>
      </c>
      <c r="C38" s="274"/>
      <c r="D38" s="274"/>
      <c r="E38" s="274"/>
      <c r="F38" s="274"/>
      <c r="G38" s="274"/>
      <c r="H38" s="274"/>
      <c r="J38" t="s">
        <v>147</v>
      </c>
    </row>
    <row r="39" spans="1:10" ht="15.75" customHeight="1">
      <c r="A39" s="140"/>
      <c r="B39" s="274" t="s">
        <v>225</v>
      </c>
      <c r="C39" s="274"/>
      <c r="D39" s="274"/>
      <c r="E39" s="274"/>
      <c r="F39" s="274"/>
      <c r="G39" s="274"/>
      <c r="H39" s="274"/>
      <c r="J39" t="s">
        <v>147</v>
      </c>
    </row>
    <row r="40" spans="1:10" ht="30.75" customHeight="1">
      <c r="A40" s="145" t="s">
        <v>147</v>
      </c>
      <c r="B40" s="231" t="s">
        <v>221</v>
      </c>
      <c r="C40" s="231"/>
      <c r="D40" s="231"/>
      <c r="E40" s="231"/>
      <c r="F40" s="231"/>
      <c r="G40" s="231"/>
      <c r="H40" s="231"/>
      <c r="J40" t="s">
        <v>147</v>
      </c>
    </row>
    <row r="41" ht="15.75">
      <c r="J41" t="s">
        <v>147</v>
      </c>
    </row>
    <row r="42" spans="2:6" ht="15.75">
      <c r="B42" s="68" t="s">
        <v>197</v>
      </c>
      <c r="C42" s="68"/>
      <c r="D42" s="68"/>
      <c r="E42" s="37"/>
      <c r="F42" s="37"/>
    </row>
    <row r="44" ht="15.75">
      <c r="D44" t="s">
        <v>147</v>
      </c>
    </row>
    <row r="45" ht="15.75">
      <c r="B45" t="s">
        <v>147</v>
      </c>
    </row>
  </sheetData>
  <sheetProtection/>
  <mergeCells count="34">
    <mergeCell ref="A1:H1"/>
    <mergeCell ref="B6:D6"/>
    <mergeCell ref="B7:F7"/>
    <mergeCell ref="B8:F8"/>
    <mergeCell ref="B14:D14"/>
    <mergeCell ref="B9:F9"/>
    <mergeCell ref="B10:F10"/>
    <mergeCell ref="B12:D12"/>
    <mergeCell ref="B13:D13"/>
    <mergeCell ref="B30:D30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3:D33"/>
    <mergeCell ref="B31:D31"/>
    <mergeCell ref="B32:D32"/>
    <mergeCell ref="B26:D26"/>
    <mergeCell ref="B27:D27"/>
    <mergeCell ref="B28:D28"/>
    <mergeCell ref="B29:D29"/>
    <mergeCell ref="B25:D25"/>
    <mergeCell ref="B34:F34"/>
    <mergeCell ref="B35:D35"/>
    <mergeCell ref="B40:H40"/>
    <mergeCell ref="B38:H38"/>
    <mergeCell ref="B39:H39"/>
    <mergeCell ref="B37:H37"/>
  </mergeCells>
  <printOptions/>
  <pageMargins left="0.61" right="0" top="0.1968503937007874" bottom="0" header="0.5118110236220472" footer="0.5118110236220472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6">
      <selection activeCell="K44" sqref="K44"/>
    </sheetView>
  </sheetViews>
  <sheetFormatPr defaultColWidth="9.00390625" defaultRowHeight="15.75"/>
  <cols>
    <col min="1" max="1" width="4.50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6.00390625" style="0" customWidth="1"/>
    <col min="6" max="6" width="22.50390625" style="0" hidden="1" customWidth="1"/>
    <col min="7" max="7" width="6.75390625" style="0" bestFit="1" customWidth="1"/>
    <col min="8" max="8" width="6.75390625" style="0" customWidth="1"/>
    <col min="9" max="9" width="11.125" style="0" customWidth="1"/>
    <col min="10" max="10" width="11.50390625" style="0" customWidth="1"/>
    <col min="11" max="11" width="12.875" style="0" customWidth="1"/>
  </cols>
  <sheetData>
    <row r="1" spans="1:11" ht="94.5" customHeight="1">
      <c r="A1" s="230" t="s">
        <v>216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4" ht="56.25" customHeight="1">
      <c r="A2" s="231" t="s">
        <v>215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N2" t="s">
        <v>147</v>
      </c>
    </row>
    <row r="3" spans="2:10" ht="18.75">
      <c r="B3" s="1" t="s">
        <v>83</v>
      </c>
      <c r="C3" s="2"/>
      <c r="D3" s="2" t="s">
        <v>0</v>
      </c>
      <c r="E3" s="4">
        <v>4668.7</v>
      </c>
      <c r="F3" s="2"/>
      <c r="G3" s="81"/>
      <c r="H3" s="81"/>
      <c r="J3" s="81">
        <v>0</v>
      </c>
    </row>
    <row r="4" spans="2:10" ht="15.75">
      <c r="B4" s="3" t="s">
        <v>1</v>
      </c>
      <c r="C4" s="28">
        <v>9</v>
      </c>
      <c r="D4" s="2" t="s">
        <v>2</v>
      </c>
      <c r="E4" s="4">
        <v>144</v>
      </c>
      <c r="F4" s="2"/>
      <c r="J4" t="s">
        <v>97</v>
      </c>
    </row>
    <row r="5" spans="2:10" ht="15.75">
      <c r="B5" s="3" t="s">
        <v>3</v>
      </c>
      <c r="C5" s="4">
        <v>1</v>
      </c>
      <c r="D5" s="2" t="s">
        <v>4</v>
      </c>
      <c r="E5" s="2" t="s">
        <v>16</v>
      </c>
      <c r="F5" s="2"/>
      <c r="G5" s="2"/>
      <c r="H5" s="2"/>
      <c r="J5" s="2" t="s">
        <v>145</v>
      </c>
    </row>
    <row r="6" spans="2:10" ht="15.75">
      <c r="B6" s="3"/>
      <c r="C6" s="4"/>
      <c r="D6" s="2" t="s">
        <v>5</v>
      </c>
      <c r="E6" s="2" t="s">
        <v>16</v>
      </c>
      <c r="F6" s="2"/>
      <c r="J6" t="s">
        <v>146</v>
      </c>
    </row>
    <row r="7" spans="1:11" ht="42.75">
      <c r="A7" s="22" t="s">
        <v>60</v>
      </c>
      <c r="B7" s="255" t="s">
        <v>148</v>
      </c>
      <c r="C7" s="256"/>
      <c r="D7" s="257"/>
      <c r="E7" s="11" t="s">
        <v>6</v>
      </c>
      <c r="F7" s="11" t="s">
        <v>7</v>
      </c>
      <c r="G7" s="36" t="s">
        <v>22</v>
      </c>
      <c r="H7" s="36" t="s">
        <v>22</v>
      </c>
      <c r="I7" s="241" t="s">
        <v>185</v>
      </c>
      <c r="J7" s="242"/>
      <c r="K7" s="243"/>
    </row>
    <row r="8" spans="1:11" ht="15.75">
      <c r="A8" s="23">
        <v>1</v>
      </c>
      <c r="B8" s="223"/>
      <c r="C8" s="224"/>
      <c r="D8" s="224"/>
      <c r="E8" s="224"/>
      <c r="F8" s="225"/>
      <c r="G8" s="104"/>
      <c r="H8" s="104"/>
      <c r="I8" s="75" t="s">
        <v>186</v>
      </c>
      <c r="J8" s="106" t="s">
        <v>187</v>
      </c>
      <c r="K8" s="106" t="s">
        <v>188</v>
      </c>
    </row>
    <row r="9" spans="1:11" ht="15.75" customHeight="1">
      <c r="A9" s="23"/>
      <c r="B9" s="223" t="s">
        <v>149</v>
      </c>
      <c r="C9" s="224"/>
      <c r="D9" s="224"/>
      <c r="E9" s="224"/>
      <c r="F9" s="225"/>
      <c r="G9" s="75"/>
      <c r="H9" s="75"/>
      <c r="I9" s="75"/>
      <c r="J9" s="50"/>
      <c r="K9" s="106"/>
    </row>
    <row r="10" spans="1:11" ht="30" customHeight="1">
      <c r="A10" s="82"/>
      <c r="B10" s="254" t="s">
        <v>150</v>
      </c>
      <c r="C10" s="254"/>
      <c r="D10" s="254"/>
      <c r="E10" s="254"/>
      <c r="F10" s="254"/>
      <c r="G10" s="15"/>
      <c r="H10" s="15"/>
      <c r="I10" s="107">
        <v>539283.33</v>
      </c>
      <c r="J10" s="72"/>
      <c r="K10" s="51">
        <f>I10+J10</f>
        <v>539283.33</v>
      </c>
    </row>
    <row r="11" spans="1:11" ht="15.75" customHeight="1">
      <c r="A11" s="82"/>
      <c r="B11" s="254" t="s">
        <v>151</v>
      </c>
      <c r="C11" s="254"/>
      <c r="D11" s="254"/>
      <c r="E11" s="254"/>
      <c r="F11" s="254"/>
      <c r="G11" s="15"/>
      <c r="H11" s="15"/>
      <c r="I11" s="108">
        <v>25050.13</v>
      </c>
      <c r="J11" s="72"/>
      <c r="K11" s="51">
        <f>I11+J11</f>
        <v>25050.13</v>
      </c>
    </row>
    <row r="12" spans="1:11" ht="15.75">
      <c r="A12" s="23"/>
      <c r="B12" s="254" t="s">
        <v>152</v>
      </c>
      <c r="C12" s="254"/>
      <c r="D12" s="254"/>
      <c r="E12" s="254"/>
      <c r="F12" s="254"/>
      <c r="G12" s="15"/>
      <c r="H12" s="15"/>
      <c r="I12" s="83"/>
      <c r="J12" s="109">
        <v>0</v>
      </c>
      <c r="K12" s="51">
        <f>I12+J12</f>
        <v>0</v>
      </c>
    </row>
    <row r="13" spans="1:11" ht="15.75">
      <c r="A13" s="23"/>
      <c r="B13" s="254" t="s">
        <v>189</v>
      </c>
      <c r="C13" s="254"/>
      <c r="D13" s="254"/>
      <c r="E13" s="254"/>
      <c r="F13" s="254"/>
      <c r="G13" s="15"/>
      <c r="H13" s="15"/>
      <c r="I13" s="83"/>
      <c r="J13" s="109">
        <v>199560</v>
      </c>
      <c r="K13" s="51">
        <f>I13+J13</f>
        <v>199560</v>
      </c>
    </row>
    <row r="14" spans="1:11" ht="15.75">
      <c r="A14" s="23"/>
      <c r="B14" s="228" t="s">
        <v>153</v>
      </c>
      <c r="C14" s="228"/>
      <c r="D14" s="228"/>
      <c r="E14" s="228"/>
      <c r="F14" s="228"/>
      <c r="G14" s="15"/>
      <c r="H14" s="15"/>
      <c r="I14" s="42">
        <f>SUM(I10:I12)</f>
        <v>564333.46</v>
      </c>
      <c r="J14" s="110">
        <f>SUM(J12:J13)</f>
        <v>199560</v>
      </c>
      <c r="K14" s="42">
        <f>SUM(K10:K13)</f>
        <v>763893.46</v>
      </c>
    </row>
    <row r="15" spans="1:11" ht="15.75" customHeight="1">
      <c r="A15" s="23">
        <v>2</v>
      </c>
      <c r="B15" s="229" t="s">
        <v>65</v>
      </c>
      <c r="C15" s="229"/>
      <c r="D15" s="229"/>
      <c r="E15" s="229"/>
      <c r="F15" s="229"/>
      <c r="G15" s="15"/>
      <c r="H15" s="15"/>
      <c r="I15" s="83"/>
      <c r="J15" s="72"/>
      <c r="K15" s="54"/>
    </row>
    <row r="16" spans="1:11" ht="15.75" customHeight="1">
      <c r="A16" s="23" t="s">
        <v>142</v>
      </c>
      <c r="B16" s="19" t="s">
        <v>66</v>
      </c>
      <c r="C16" s="19"/>
      <c r="D16" s="19"/>
      <c r="E16" s="19"/>
      <c r="F16" s="5"/>
      <c r="G16" s="105"/>
      <c r="H16" s="105"/>
      <c r="I16" s="105"/>
      <c r="J16" s="103"/>
      <c r="K16" s="106"/>
    </row>
    <row r="17" spans="1:11" ht="27.75" customHeight="1">
      <c r="A17" s="26"/>
      <c r="B17" s="253" t="s">
        <v>217</v>
      </c>
      <c r="C17" s="253"/>
      <c r="D17" s="253"/>
      <c r="E17" s="84" t="s">
        <v>32</v>
      </c>
      <c r="F17" s="77" t="s">
        <v>24</v>
      </c>
      <c r="G17" s="78">
        <v>1.22</v>
      </c>
      <c r="H17" s="78">
        <v>1.29</v>
      </c>
      <c r="I17" s="86">
        <f>ROUND(G17*$E$3*6,2)+ROUND(H17*$E$3*2,2)</f>
        <v>46220.13</v>
      </c>
      <c r="J17" s="111">
        <f>$J$12*0.08</f>
        <v>0</v>
      </c>
      <c r="K17" s="110">
        <f>SUM(I17:J17)</f>
        <v>46220.13</v>
      </c>
    </row>
    <row r="18" spans="1:11" ht="15.75" customHeight="1">
      <c r="A18" s="23"/>
      <c r="B18" s="251" t="s">
        <v>17</v>
      </c>
      <c r="C18" s="251"/>
      <c r="D18" s="251"/>
      <c r="E18" s="84" t="s">
        <v>32</v>
      </c>
      <c r="F18" s="77" t="s">
        <v>19</v>
      </c>
      <c r="G18" s="78">
        <v>0.28</v>
      </c>
      <c r="H18" s="78">
        <v>0.3</v>
      </c>
      <c r="I18" s="86">
        <f>ROUND(G18*$E$3*6,2)+ROUND(H18*$E$3*2,2)</f>
        <v>10644.64</v>
      </c>
      <c r="J18" s="111">
        <f>$J$12*0.02</f>
        <v>0</v>
      </c>
      <c r="K18" s="110">
        <f>SUM(I18:J18)</f>
        <v>10644.64</v>
      </c>
    </row>
    <row r="19" spans="1:12" ht="15.75" customHeight="1">
      <c r="A19" s="23"/>
      <c r="B19" s="252" t="s">
        <v>23</v>
      </c>
      <c r="C19" s="252"/>
      <c r="D19" s="252"/>
      <c r="E19" s="87" t="s">
        <v>154</v>
      </c>
      <c r="F19" s="79" t="s">
        <v>20</v>
      </c>
      <c r="G19" s="78">
        <v>0.99</v>
      </c>
      <c r="H19" s="78">
        <v>1.05</v>
      </c>
      <c r="I19" s="86">
        <f>K19-J19</f>
        <v>16050.43</v>
      </c>
      <c r="J19" s="111">
        <f>$J$12*0.07</f>
        <v>0</v>
      </c>
      <c r="K19" s="112">
        <v>16050.43</v>
      </c>
      <c r="L19" s="159"/>
    </row>
    <row r="20" spans="1:11" ht="15.75" customHeight="1">
      <c r="A20" s="26"/>
      <c r="B20" s="253" t="s">
        <v>31</v>
      </c>
      <c r="C20" s="253"/>
      <c r="D20" s="253"/>
      <c r="E20" s="88" t="s">
        <v>9</v>
      </c>
      <c r="F20" s="80" t="s">
        <v>10</v>
      </c>
      <c r="G20" s="78">
        <v>0.51</v>
      </c>
      <c r="H20" s="78">
        <v>0.54</v>
      </c>
      <c r="I20" s="86">
        <f>ROUND(G20*$E$3*6,2)+ROUND(H20*$E$3*2,2)</f>
        <v>19328.42</v>
      </c>
      <c r="J20" s="111">
        <f>$J$12*0.04</f>
        <v>0</v>
      </c>
      <c r="K20" s="110">
        <f>SUM(I20:J20)</f>
        <v>19328.42</v>
      </c>
    </row>
    <row r="21" spans="1:12" ht="65.25" customHeight="1">
      <c r="A21" s="23"/>
      <c r="B21" s="252" t="s">
        <v>27</v>
      </c>
      <c r="C21" s="252"/>
      <c r="D21" s="252"/>
      <c r="E21" s="87" t="s">
        <v>155</v>
      </c>
      <c r="F21" s="79" t="s">
        <v>25</v>
      </c>
      <c r="G21" s="78">
        <v>0.12</v>
      </c>
      <c r="H21" s="78">
        <v>0.13</v>
      </c>
      <c r="I21" s="86">
        <f>K21-J21</f>
        <v>3116</v>
      </c>
      <c r="J21" s="111">
        <f>$J$12*0.01</f>
        <v>0</v>
      </c>
      <c r="K21" s="112">
        <v>3116</v>
      </c>
      <c r="L21" s="159"/>
    </row>
    <row r="22" spans="1:11" ht="27.75" customHeight="1">
      <c r="A22" s="26"/>
      <c r="B22" s="252" t="s">
        <v>11</v>
      </c>
      <c r="C22" s="252"/>
      <c r="D22" s="252"/>
      <c r="E22" s="87" t="s">
        <v>9</v>
      </c>
      <c r="F22" s="79" t="s">
        <v>12</v>
      </c>
      <c r="G22" s="78">
        <v>2.22</v>
      </c>
      <c r="H22" s="78">
        <v>2.35</v>
      </c>
      <c r="I22" s="86">
        <f>ROUND(G22*$E$3*6,2)+ROUND(H22*$E$3*2,2)</f>
        <v>84129.97</v>
      </c>
      <c r="J22" s="111">
        <f>$J$12*0.15</f>
        <v>0</v>
      </c>
      <c r="K22" s="112">
        <f>I22+J22</f>
        <v>84129.97</v>
      </c>
    </row>
    <row r="23" spans="1:12" ht="15.75" customHeight="1">
      <c r="A23" s="26"/>
      <c r="B23" s="252" t="s">
        <v>26</v>
      </c>
      <c r="C23" s="250"/>
      <c r="D23" s="250"/>
      <c r="E23" s="89" t="s">
        <v>13</v>
      </c>
      <c r="F23" s="74" t="s">
        <v>14</v>
      </c>
      <c r="G23" s="78">
        <v>0.05</v>
      </c>
      <c r="H23" s="78">
        <v>0.05</v>
      </c>
      <c r="I23" s="86">
        <f>K23-J23</f>
        <v>4143.6</v>
      </c>
      <c r="J23" s="111">
        <f>$J$12*0.003</f>
        <v>0</v>
      </c>
      <c r="K23" s="112">
        <v>4143.6</v>
      </c>
      <c r="L23" s="159"/>
    </row>
    <row r="24" spans="1:11" ht="27.75" customHeight="1">
      <c r="A24" s="23"/>
      <c r="B24" s="252" t="s">
        <v>71</v>
      </c>
      <c r="C24" s="252"/>
      <c r="D24" s="252"/>
      <c r="E24" s="84" t="s">
        <v>35</v>
      </c>
      <c r="F24" s="113" t="s">
        <v>178</v>
      </c>
      <c r="G24" s="78">
        <v>2.15</v>
      </c>
      <c r="H24" s="78">
        <v>1.63</v>
      </c>
      <c r="I24" s="86">
        <f aca="true" t="shared" si="0" ref="I24:I29">ROUND(G24*$E$3*6,2)+ROUND(H24*$E$3*2,2)</f>
        <v>75446.19</v>
      </c>
      <c r="J24" s="111">
        <f>$J$12*0.19</f>
        <v>0</v>
      </c>
      <c r="K24" s="110">
        <f aca="true" t="shared" si="1" ref="K24:K29">SUM(I24:J24)</f>
        <v>75446.19</v>
      </c>
    </row>
    <row r="25" spans="1:11" ht="25.5" customHeight="1">
      <c r="A25" s="23"/>
      <c r="B25" s="251" t="s">
        <v>15</v>
      </c>
      <c r="C25" s="251"/>
      <c r="D25" s="251"/>
      <c r="E25" s="84" t="s">
        <v>35</v>
      </c>
      <c r="F25" s="113" t="s">
        <v>178</v>
      </c>
      <c r="G25" s="78">
        <v>0.53</v>
      </c>
      <c r="H25" s="78">
        <v>0.56</v>
      </c>
      <c r="I25" s="86">
        <f t="shared" si="0"/>
        <v>20075.41</v>
      </c>
      <c r="J25" s="111">
        <v>0</v>
      </c>
      <c r="K25" s="110">
        <f t="shared" si="1"/>
        <v>20075.41</v>
      </c>
    </row>
    <row r="26" spans="1:14" ht="27.75" customHeight="1">
      <c r="A26" s="23"/>
      <c r="B26" s="210" t="s">
        <v>36</v>
      </c>
      <c r="C26" s="245"/>
      <c r="D26" s="246"/>
      <c r="E26" s="84" t="s">
        <v>35</v>
      </c>
      <c r="F26" s="113" t="s">
        <v>178</v>
      </c>
      <c r="G26" s="90">
        <v>3.52</v>
      </c>
      <c r="H26" s="90">
        <v>4.38</v>
      </c>
      <c r="I26" s="86">
        <f t="shared" si="0"/>
        <v>139500.75</v>
      </c>
      <c r="J26" s="114">
        <f>$J$12*0.18</f>
        <v>0</v>
      </c>
      <c r="K26" s="110">
        <f t="shared" si="1"/>
        <v>139500.75</v>
      </c>
      <c r="N26" t="s">
        <v>147</v>
      </c>
    </row>
    <row r="27" spans="1:11" ht="25.5" customHeight="1">
      <c r="A27" s="26"/>
      <c r="B27" s="252" t="s">
        <v>156</v>
      </c>
      <c r="C27" s="252"/>
      <c r="D27" s="252"/>
      <c r="E27" s="84" t="s">
        <v>35</v>
      </c>
      <c r="F27" s="113" t="s">
        <v>178</v>
      </c>
      <c r="G27" s="90">
        <v>0</v>
      </c>
      <c r="H27" s="90">
        <v>0</v>
      </c>
      <c r="I27" s="86">
        <f t="shared" si="0"/>
        <v>0</v>
      </c>
      <c r="J27" s="114">
        <f>$J$12*0.02</f>
        <v>0</v>
      </c>
      <c r="K27" s="110">
        <f t="shared" si="1"/>
        <v>0</v>
      </c>
    </row>
    <row r="28" spans="1:11" ht="15.75" customHeight="1">
      <c r="A28" s="23"/>
      <c r="B28" s="252" t="s">
        <v>157</v>
      </c>
      <c r="C28" s="252"/>
      <c r="D28" s="252"/>
      <c r="E28" s="87" t="s">
        <v>9</v>
      </c>
      <c r="F28" s="113" t="s">
        <v>178</v>
      </c>
      <c r="G28" s="90">
        <v>0</v>
      </c>
      <c r="H28" s="90">
        <v>0</v>
      </c>
      <c r="I28" s="86">
        <f t="shared" si="0"/>
        <v>0</v>
      </c>
      <c r="J28" s="114">
        <f>$J$12*0.02</f>
        <v>0</v>
      </c>
      <c r="K28" s="110">
        <f t="shared" si="1"/>
        <v>0</v>
      </c>
    </row>
    <row r="29" spans="1:11" ht="24" customHeight="1">
      <c r="A29" s="23"/>
      <c r="B29" s="250" t="s">
        <v>21</v>
      </c>
      <c r="C29" s="250"/>
      <c r="D29" s="250"/>
      <c r="E29" s="84" t="s">
        <v>35</v>
      </c>
      <c r="F29" s="113" t="s">
        <v>178</v>
      </c>
      <c r="G29" s="74">
        <v>1.45</v>
      </c>
      <c r="H29" s="74">
        <v>1.54</v>
      </c>
      <c r="I29" s="86">
        <f t="shared" si="0"/>
        <v>54997.29</v>
      </c>
      <c r="J29" s="111">
        <f>$J$12*0.1</f>
        <v>0</v>
      </c>
      <c r="K29" s="110">
        <f t="shared" si="1"/>
        <v>54997.29</v>
      </c>
    </row>
    <row r="30" spans="1:11" ht="15.75">
      <c r="A30" s="23"/>
      <c r="B30" s="247"/>
      <c r="C30" s="248"/>
      <c r="D30" s="249"/>
      <c r="E30" s="87"/>
      <c r="F30" s="113"/>
      <c r="G30" s="74"/>
      <c r="H30" s="74"/>
      <c r="I30" s="85"/>
      <c r="J30" s="109"/>
      <c r="K30" s="115"/>
    </row>
    <row r="31" spans="1:11" ht="15.75" customHeight="1">
      <c r="A31" s="23"/>
      <c r="B31" s="247"/>
      <c r="C31" s="248"/>
      <c r="D31" s="249"/>
      <c r="E31" s="87"/>
      <c r="F31" s="113"/>
      <c r="G31" s="74"/>
      <c r="H31" s="74"/>
      <c r="I31" s="85"/>
      <c r="J31" s="109"/>
      <c r="K31" s="115"/>
    </row>
    <row r="32" spans="1:11" ht="15.75">
      <c r="A32" s="23"/>
      <c r="B32" s="208" t="s">
        <v>30</v>
      </c>
      <c r="C32" s="208"/>
      <c r="D32" s="208"/>
      <c r="E32" s="14"/>
      <c r="F32" s="113"/>
      <c r="G32" s="21">
        <f>SUM(G17:G29)</f>
        <v>13.039999999999997</v>
      </c>
      <c r="H32" s="21">
        <f>SUM(H17:H29)</f>
        <v>13.82</v>
      </c>
      <c r="I32" s="40">
        <f>SUM(I17:I31)</f>
        <v>473652.82999999996</v>
      </c>
      <c r="J32" s="116">
        <f>SUM(J17:J31)</f>
        <v>0</v>
      </c>
      <c r="K32" s="40">
        <f>SUM(K17:K31)</f>
        <v>473652.82999999996</v>
      </c>
    </row>
    <row r="33" spans="1:11" ht="15.75">
      <c r="A33" s="23"/>
      <c r="B33" s="244" t="s">
        <v>191</v>
      </c>
      <c r="C33" s="245"/>
      <c r="D33" s="246"/>
      <c r="E33" s="87" t="s">
        <v>9</v>
      </c>
      <c r="F33" s="113"/>
      <c r="G33" s="74"/>
      <c r="H33" s="74"/>
      <c r="I33" s="85"/>
      <c r="J33" s="109"/>
      <c r="K33" s="115"/>
    </row>
    <row r="34" spans="1:11" ht="25.5">
      <c r="A34" s="23"/>
      <c r="B34" s="244" t="s">
        <v>192</v>
      </c>
      <c r="C34" s="245"/>
      <c r="D34" s="246"/>
      <c r="E34" s="84" t="s">
        <v>35</v>
      </c>
      <c r="F34" s="113"/>
      <c r="G34" s="74"/>
      <c r="H34" s="74"/>
      <c r="I34" s="85"/>
      <c r="J34" s="109"/>
      <c r="K34" s="115"/>
    </row>
    <row r="35" spans="1:11" ht="15.75">
      <c r="A35" s="23"/>
      <c r="B35" s="258"/>
      <c r="C35" s="259"/>
      <c r="D35" s="259"/>
      <c r="E35" s="133"/>
      <c r="F35" s="113"/>
      <c r="G35" s="21"/>
      <c r="H35" s="21"/>
      <c r="I35" s="40"/>
      <c r="J35" s="116"/>
      <c r="K35" s="40"/>
    </row>
    <row r="36" spans="1:13" ht="15.75" customHeight="1">
      <c r="A36" s="23" t="s">
        <v>143</v>
      </c>
      <c r="B36" s="237" t="s">
        <v>158</v>
      </c>
      <c r="C36" s="238"/>
      <c r="D36" s="238"/>
      <c r="E36" s="239"/>
      <c r="F36" s="113" t="s">
        <v>178</v>
      </c>
      <c r="G36" s="24">
        <f>I36/E3/12</f>
        <v>0.7914408721914024</v>
      </c>
      <c r="H36" s="24">
        <v>1.54</v>
      </c>
      <c r="I36" s="31">
        <v>44340</v>
      </c>
      <c r="J36" s="117">
        <v>0</v>
      </c>
      <c r="K36" s="110">
        <f>SUM(I36:J36)</f>
        <v>44340</v>
      </c>
      <c r="M36" t="s">
        <v>147</v>
      </c>
    </row>
    <row r="37" spans="1:11" ht="15.75" customHeight="1">
      <c r="A37" s="25"/>
      <c r="B37" s="209" t="s">
        <v>69</v>
      </c>
      <c r="C37" s="209"/>
      <c r="D37" s="209"/>
      <c r="E37" s="209"/>
      <c r="F37" s="209"/>
      <c r="G37" s="21">
        <f>SUM(G32:G36)</f>
        <v>13.8314408721914</v>
      </c>
      <c r="H37" s="21">
        <f>SUM(H32:H36)</f>
        <v>15.36</v>
      </c>
      <c r="I37" s="91">
        <f>SUM(I32:I36)</f>
        <v>517992.82999999996</v>
      </c>
      <c r="J37" s="116">
        <f>SUM(J32:J36)</f>
        <v>0</v>
      </c>
      <c r="K37" s="116">
        <f>SUM(K32:K36)</f>
        <v>517992.82999999996</v>
      </c>
    </row>
    <row r="38" spans="1:11" ht="15.75">
      <c r="A38" s="23" t="s">
        <v>144</v>
      </c>
      <c r="B38" s="240" t="s">
        <v>159</v>
      </c>
      <c r="C38" s="240"/>
      <c r="D38" s="240"/>
      <c r="E38" s="240"/>
      <c r="F38" s="240"/>
      <c r="G38" s="92"/>
      <c r="H38" s="92"/>
      <c r="I38" s="93">
        <v>0</v>
      </c>
      <c r="J38" s="112">
        <v>0</v>
      </c>
      <c r="K38" s="118">
        <f>SUM(I38:J38)</f>
        <v>0</v>
      </c>
    </row>
    <row r="39" spans="1:11" ht="15.75" customHeight="1">
      <c r="A39" s="25"/>
      <c r="B39" s="209" t="s">
        <v>160</v>
      </c>
      <c r="C39" s="209"/>
      <c r="D39" s="209"/>
      <c r="E39" s="209"/>
      <c r="F39" s="209"/>
      <c r="G39" s="21">
        <f>SUM(G37:G38)</f>
        <v>13.8314408721914</v>
      </c>
      <c r="H39" s="21">
        <f>SUM(H37:H38)</f>
        <v>15.36</v>
      </c>
      <c r="I39" s="91">
        <f>SUM(I37:I38)</f>
        <v>517992.82999999996</v>
      </c>
      <c r="J39" s="116">
        <f>SUM(J37:J38)</f>
        <v>0</v>
      </c>
      <c r="K39" s="116">
        <f>SUM(K37:K38)</f>
        <v>517992.82999999996</v>
      </c>
    </row>
    <row r="40" spans="1:11" ht="15.75">
      <c r="A40" s="23">
        <v>3</v>
      </c>
      <c r="B40" s="210" t="s">
        <v>218</v>
      </c>
      <c r="C40" s="234"/>
      <c r="D40" s="234"/>
      <c r="E40" s="234"/>
      <c r="F40" s="234"/>
      <c r="G40" s="235"/>
      <c r="H40" s="158"/>
      <c r="I40" s="94">
        <f>I14-I39</f>
        <v>46340.630000000005</v>
      </c>
      <c r="J40" s="86">
        <f>J14-J39</f>
        <v>199560</v>
      </c>
      <c r="K40" s="118">
        <f>K14-K39</f>
        <v>245900.63</v>
      </c>
    </row>
    <row r="42" spans="2:10" ht="15.75">
      <c r="B42" s="37" t="s">
        <v>77</v>
      </c>
      <c r="F42" s="37" t="s">
        <v>80</v>
      </c>
      <c r="I42" s="37" t="s">
        <v>80</v>
      </c>
      <c r="J42" s="37"/>
    </row>
    <row r="43" spans="2:10" ht="15.75">
      <c r="B43" s="37"/>
      <c r="F43" s="37"/>
      <c r="I43" s="37"/>
      <c r="J43" s="37"/>
    </row>
    <row r="44" spans="2:10" ht="15.75">
      <c r="B44" s="37" t="s">
        <v>81</v>
      </c>
      <c r="C44" s="37"/>
      <c r="D44" s="37"/>
      <c r="E44" s="37"/>
      <c r="F44" s="37" t="s">
        <v>84</v>
      </c>
      <c r="I44" s="37" t="s">
        <v>84</v>
      </c>
      <c r="J44" s="37"/>
    </row>
    <row r="45" spans="2:4" ht="15.75">
      <c r="B45" s="236" t="s">
        <v>86</v>
      </c>
      <c r="C45" s="236"/>
      <c r="D45" s="236"/>
    </row>
  </sheetData>
  <sheetProtection/>
  <mergeCells count="37">
    <mergeCell ref="B33:D33"/>
    <mergeCell ref="B34:D34"/>
    <mergeCell ref="B35:D35"/>
    <mergeCell ref="B36:E36"/>
    <mergeCell ref="B45:D45"/>
    <mergeCell ref="B37:F37"/>
    <mergeCell ref="B38:F38"/>
    <mergeCell ref="B39:F39"/>
    <mergeCell ref="B40:G40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K1"/>
    <mergeCell ref="A2:K2"/>
    <mergeCell ref="B7:D7"/>
    <mergeCell ref="I7:K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7">
      <selection activeCell="K28" sqref="K28"/>
    </sheetView>
  </sheetViews>
  <sheetFormatPr defaultColWidth="9.00390625" defaultRowHeight="15.75"/>
  <cols>
    <col min="1" max="1" width="5.00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6.75390625" style="0" customWidth="1"/>
    <col min="6" max="6" width="18.00390625" style="0" hidden="1" customWidth="1"/>
    <col min="7" max="7" width="12.375" style="0" customWidth="1"/>
    <col min="8" max="8" width="13.00390625" style="0" customWidth="1"/>
  </cols>
  <sheetData>
    <row r="1" spans="4:8" ht="68.25" customHeight="1">
      <c r="D1" s="279" t="s">
        <v>228</v>
      </c>
      <c r="E1" s="279"/>
      <c r="F1" s="279"/>
      <c r="G1" s="279"/>
      <c r="H1" s="279"/>
    </row>
    <row r="4" spans="1:8" ht="19.5" customHeight="1">
      <c r="A4" s="230" t="s">
        <v>229</v>
      </c>
      <c r="B4" s="230"/>
      <c r="C4" s="230"/>
      <c r="D4" s="230"/>
      <c r="E4" s="230"/>
      <c r="F4" s="230"/>
      <c r="G4" s="230"/>
      <c r="H4" s="230"/>
    </row>
    <row r="5" spans="1:7" ht="19.5">
      <c r="A5" s="146"/>
      <c r="B5" s="146"/>
      <c r="C5" s="146"/>
      <c r="D5" s="146"/>
      <c r="E5" s="146"/>
      <c r="F5" s="146"/>
      <c r="G5" s="146"/>
    </row>
    <row r="6" spans="1:7" ht="19.5">
      <c r="A6" s="146"/>
      <c r="B6" s="280" t="s">
        <v>239</v>
      </c>
      <c r="C6" s="280"/>
      <c r="D6" s="280"/>
      <c r="E6" s="280"/>
      <c r="F6" s="146"/>
      <c r="G6" s="146"/>
    </row>
    <row r="8" spans="2:6" ht="18.75">
      <c r="B8" s="1" t="s">
        <v>83</v>
      </c>
      <c r="C8" s="2"/>
      <c r="D8" s="2" t="s">
        <v>0</v>
      </c>
      <c r="E8" s="4">
        <v>4674.65</v>
      </c>
      <c r="F8" s="2"/>
    </row>
    <row r="9" spans="2:6" ht="15.75">
      <c r="B9" s="3" t="s">
        <v>1</v>
      </c>
      <c r="C9" s="28">
        <v>9</v>
      </c>
      <c r="D9" s="2" t="s">
        <v>2</v>
      </c>
      <c r="E9" s="4">
        <v>144</v>
      </c>
      <c r="F9" s="2"/>
    </row>
    <row r="10" spans="2:7" ht="15.75">
      <c r="B10" s="3" t="s">
        <v>3</v>
      </c>
      <c r="C10" s="4">
        <v>1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10.25">
      <c r="A12" s="119" t="s">
        <v>60</v>
      </c>
      <c r="B12" s="270" t="s">
        <v>148</v>
      </c>
      <c r="C12" s="271"/>
      <c r="D12" s="272"/>
      <c r="E12" s="70" t="s">
        <v>6</v>
      </c>
      <c r="F12" s="70" t="s">
        <v>7</v>
      </c>
      <c r="G12" s="153" t="s">
        <v>240</v>
      </c>
      <c r="H12" s="139" t="s">
        <v>241</v>
      </c>
    </row>
    <row r="13" spans="1:8" ht="25.5">
      <c r="A13" s="149">
        <v>1</v>
      </c>
      <c r="B13" s="255">
        <v>2</v>
      </c>
      <c r="C13" s="256"/>
      <c r="D13" s="257"/>
      <c r="E13" s="150">
        <v>3</v>
      </c>
      <c r="F13" s="150"/>
      <c r="G13" s="151">
        <v>4</v>
      </c>
      <c r="H13" s="152" t="s">
        <v>242</v>
      </c>
    </row>
    <row r="14" spans="1:8" ht="15.75" customHeight="1" hidden="1">
      <c r="A14" s="71">
        <v>1</v>
      </c>
      <c r="B14" s="273" t="s">
        <v>138</v>
      </c>
      <c r="C14" s="273"/>
      <c r="D14" s="273"/>
      <c r="E14" s="273"/>
      <c r="F14" s="273"/>
      <c r="G14" s="72"/>
      <c r="H14" s="73"/>
    </row>
    <row r="15" spans="1:8" ht="15.75" customHeight="1" hidden="1">
      <c r="A15" s="71"/>
      <c r="B15" s="228" t="s">
        <v>177</v>
      </c>
      <c r="C15" s="228"/>
      <c r="D15" s="228"/>
      <c r="E15" s="228"/>
      <c r="F15" s="228"/>
      <c r="G15" s="24">
        <f>G41</f>
        <v>15.36</v>
      </c>
      <c r="H15" s="134">
        <f>ROUND($E$8*G15*12,2)</f>
        <v>861631.49</v>
      </c>
    </row>
    <row r="16" spans="1:8" ht="15.75" customHeight="1" hidden="1">
      <c r="A16" s="71"/>
      <c r="B16" s="269" t="s">
        <v>139</v>
      </c>
      <c r="C16" s="269"/>
      <c r="D16" s="269"/>
      <c r="E16" s="269"/>
      <c r="F16" s="269"/>
      <c r="G16" s="23">
        <v>0.78</v>
      </c>
      <c r="H16" s="134">
        <f>ROUND($E$8*G16*12,2)</f>
        <v>43754.72</v>
      </c>
    </row>
    <row r="17" spans="1:8" ht="18.75" customHeight="1">
      <c r="A17" s="71" t="s">
        <v>92</v>
      </c>
      <c r="B17" s="229" t="s">
        <v>65</v>
      </c>
      <c r="C17" s="229"/>
      <c r="D17" s="229"/>
      <c r="E17" s="229"/>
      <c r="F17" s="229"/>
      <c r="G17" s="74"/>
      <c r="H17" s="134"/>
    </row>
    <row r="18" spans="1:8" ht="15.75" customHeight="1">
      <c r="A18" s="71" t="s">
        <v>230</v>
      </c>
      <c r="B18" s="19" t="s">
        <v>66</v>
      </c>
      <c r="C18" s="19"/>
      <c r="D18" s="19"/>
      <c r="E18" s="19"/>
      <c r="F18" s="5"/>
      <c r="G18" s="75"/>
      <c r="H18" s="134"/>
    </row>
    <row r="19" spans="1:8" ht="31.5">
      <c r="A19" s="76"/>
      <c r="B19" s="268" t="s">
        <v>243</v>
      </c>
      <c r="C19" s="268"/>
      <c r="D19" s="268"/>
      <c r="E19" s="84" t="s">
        <v>32</v>
      </c>
      <c r="F19" s="77" t="s">
        <v>24</v>
      </c>
      <c r="G19" s="78">
        <v>1.29</v>
      </c>
      <c r="H19" s="96">
        <f>ROUND($E$8*G19*5,0)</f>
        <v>30151</v>
      </c>
    </row>
    <row r="20" spans="1:8" ht="15.75">
      <c r="A20" s="76"/>
      <c r="B20" s="268" t="s">
        <v>17</v>
      </c>
      <c r="C20" s="268"/>
      <c r="D20" s="268"/>
      <c r="E20" s="84" t="s">
        <v>32</v>
      </c>
      <c r="F20" s="77" t="s">
        <v>19</v>
      </c>
      <c r="G20" s="78">
        <v>0.3</v>
      </c>
      <c r="H20" s="96">
        <f aca="true" t="shared" si="0" ref="H20:H42">ROUND($E$8*G20*5,0)</f>
        <v>7012</v>
      </c>
    </row>
    <row r="21" spans="1:8" ht="15.75">
      <c r="A21" s="76"/>
      <c r="B21" s="265" t="s">
        <v>23</v>
      </c>
      <c r="C21" s="265"/>
      <c r="D21" s="265"/>
      <c r="E21" s="87" t="s">
        <v>154</v>
      </c>
      <c r="F21" s="79" t="s">
        <v>20</v>
      </c>
      <c r="G21" s="78">
        <v>1.05</v>
      </c>
      <c r="H21" s="96">
        <f t="shared" si="0"/>
        <v>24542</v>
      </c>
    </row>
    <row r="22" spans="1:8" ht="31.5">
      <c r="A22" s="76"/>
      <c r="B22" s="267" t="s">
        <v>31</v>
      </c>
      <c r="C22" s="267"/>
      <c r="D22" s="267"/>
      <c r="E22" s="88" t="s">
        <v>9</v>
      </c>
      <c r="F22" s="80" t="s">
        <v>10</v>
      </c>
      <c r="G22" s="78">
        <v>0.54</v>
      </c>
      <c r="H22" s="96">
        <f t="shared" si="0"/>
        <v>12622</v>
      </c>
    </row>
    <row r="23" spans="1:8" ht="55.5" customHeight="1">
      <c r="A23" s="76"/>
      <c r="B23" s="265" t="s">
        <v>27</v>
      </c>
      <c r="C23" s="265"/>
      <c r="D23" s="265"/>
      <c r="E23" s="87" t="s">
        <v>155</v>
      </c>
      <c r="F23" s="79" t="s">
        <v>25</v>
      </c>
      <c r="G23" s="78">
        <v>0.13</v>
      </c>
      <c r="H23" s="96">
        <f t="shared" si="0"/>
        <v>3039</v>
      </c>
    </row>
    <row r="24" spans="1:8" ht="30" customHeight="1">
      <c r="A24" s="76"/>
      <c r="B24" s="265" t="s">
        <v>11</v>
      </c>
      <c r="C24" s="265"/>
      <c r="D24" s="265"/>
      <c r="E24" s="87" t="s">
        <v>9</v>
      </c>
      <c r="F24" s="79" t="s">
        <v>12</v>
      </c>
      <c r="G24" s="78">
        <v>2.35</v>
      </c>
      <c r="H24" s="96">
        <f t="shared" si="0"/>
        <v>54927</v>
      </c>
    </row>
    <row r="25" spans="1:8" ht="15.75">
      <c r="A25" s="76"/>
      <c r="B25" s="265" t="s">
        <v>26</v>
      </c>
      <c r="C25" s="266"/>
      <c r="D25" s="266"/>
      <c r="E25" s="89" t="s">
        <v>13</v>
      </c>
      <c r="F25" s="74" t="s">
        <v>140</v>
      </c>
      <c r="G25" s="78">
        <v>0.05</v>
      </c>
      <c r="H25" s="96">
        <f t="shared" si="0"/>
        <v>1169</v>
      </c>
    </row>
    <row r="26" spans="1:8" ht="51">
      <c r="A26" s="76"/>
      <c r="B26" s="265" t="s">
        <v>71</v>
      </c>
      <c r="C26" s="265"/>
      <c r="D26" s="265"/>
      <c r="E26" s="87" t="s">
        <v>237</v>
      </c>
      <c r="F26" s="79" t="s">
        <v>178</v>
      </c>
      <c r="G26" s="78">
        <v>1.63</v>
      </c>
      <c r="H26" s="96">
        <f t="shared" si="0"/>
        <v>38098</v>
      </c>
    </row>
    <row r="27" spans="1:8" ht="54" customHeight="1">
      <c r="A27" s="76"/>
      <c r="B27" s="268" t="s">
        <v>15</v>
      </c>
      <c r="C27" s="268"/>
      <c r="D27" s="268"/>
      <c r="E27" s="84" t="s">
        <v>141</v>
      </c>
      <c r="F27" s="79" t="s">
        <v>178</v>
      </c>
      <c r="G27" s="78">
        <v>0.56</v>
      </c>
      <c r="H27" s="96">
        <f t="shared" si="0"/>
        <v>13089</v>
      </c>
    </row>
    <row r="28" spans="1:8" ht="29.25" customHeight="1">
      <c r="A28" s="76"/>
      <c r="B28" s="265" t="s">
        <v>36</v>
      </c>
      <c r="C28" s="266"/>
      <c r="D28" s="266"/>
      <c r="E28" s="84" t="s">
        <v>35</v>
      </c>
      <c r="F28" s="79" t="s">
        <v>178</v>
      </c>
      <c r="G28" s="78">
        <f>4.38-G29-G30</f>
        <v>4.38</v>
      </c>
      <c r="H28" s="96">
        <f t="shared" si="0"/>
        <v>102375</v>
      </c>
    </row>
    <row r="29" spans="1:8" ht="15" customHeight="1">
      <c r="A29" s="76"/>
      <c r="B29" s="265" t="s">
        <v>179</v>
      </c>
      <c r="C29" s="265"/>
      <c r="D29" s="265"/>
      <c r="E29" s="87" t="s">
        <v>9</v>
      </c>
      <c r="F29" s="79" t="s">
        <v>178</v>
      </c>
      <c r="G29" s="157">
        <v>0</v>
      </c>
      <c r="H29" s="96">
        <f t="shared" si="0"/>
        <v>0</v>
      </c>
    </row>
    <row r="30" spans="1:8" ht="15" customHeight="1">
      <c r="A30" s="76"/>
      <c r="B30" s="265" t="s">
        <v>157</v>
      </c>
      <c r="C30" s="265"/>
      <c r="D30" s="265"/>
      <c r="E30" s="87" t="s">
        <v>9</v>
      </c>
      <c r="F30" s="79" t="s">
        <v>178</v>
      </c>
      <c r="G30" s="157">
        <v>0</v>
      </c>
      <c r="H30" s="96">
        <f t="shared" si="0"/>
        <v>0</v>
      </c>
    </row>
    <row r="31" spans="1:8" ht="25.5" customHeight="1">
      <c r="A31" s="76"/>
      <c r="B31" s="266" t="s">
        <v>21</v>
      </c>
      <c r="C31" s="266"/>
      <c r="D31" s="266"/>
      <c r="E31" s="84" t="s">
        <v>35</v>
      </c>
      <c r="F31" s="79" t="s">
        <v>178</v>
      </c>
      <c r="G31" s="78">
        <v>1.54</v>
      </c>
      <c r="H31" s="96">
        <f t="shared" si="0"/>
        <v>35995</v>
      </c>
    </row>
    <row r="32" spans="1:8" ht="15" customHeight="1" hidden="1">
      <c r="A32" s="71"/>
      <c r="B32" s="244" t="s">
        <v>191</v>
      </c>
      <c r="C32" s="245"/>
      <c r="D32" s="246"/>
      <c r="E32" s="87" t="s">
        <v>9</v>
      </c>
      <c r="F32" s="79"/>
      <c r="G32" s="78"/>
      <c r="H32" s="96">
        <f t="shared" si="0"/>
        <v>0</v>
      </c>
    </row>
    <row r="33" spans="1:8" ht="26.25" customHeight="1" hidden="1">
      <c r="A33" s="71"/>
      <c r="B33" s="244" t="s">
        <v>192</v>
      </c>
      <c r="C33" s="245"/>
      <c r="D33" s="246"/>
      <c r="E33" s="84" t="s">
        <v>35</v>
      </c>
      <c r="F33" s="79"/>
      <c r="G33" s="78"/>
      <c r="H33" s="96">
        <f t="shared" si="0"/>
        <v>0</v>
      </c>
    </row>
    <row r="34" spans="1:8" ht="15.75" customHeight="1" hidden="1">
      <c r="A34" s="76"/>
      <c r="B34" s="247"/>
      <c r="C34" s="248"/>
      <c r="D34" s="249"/>
      <c r="E34" s="84"/>
      <c r="F34" s="79"/>
      <c r="G34" s="78"/>
      <c r="H34" s="96">
        <f t="shared" si="0"/>
        <v>0</v>
      </c>
    </row>
    <row r="35" spans="1:8" ht="16.5" customHeight="1" hidden="1">
      <c r="A35" s="76"/>
      <c r="B35" s="247"/>
      <c r="C35" s="248"/>
      <c r="D35" s="249"/>
      <c r="E35" s="84"/>
      <c r="F35" s="79"/>
      <c r="G35" s="78"/>
      <c r="H35" s="96">
        <f t="shared" si="0"/>
        <v>0</v>
      </c>
    </row>
    <row r="36" spans="1:8" ht="15.75" customHeight="1">
      <c r="A36" s="76"/>
      <c r="B36" s="258" t="s">
        <v>30</v>
      </c>
      <c r="C36" s="259"/>
      <c r="D36" s="260"/>
      <c r="E36" s="14"/>
      <c r="F36" s="79"/>
      <c r="G36" s="21">
        <f>SUM(G19:G35)</f>
        <v>13.82</v>
      </c>
      <c r="H36" s="96">
        <f t="shared" si="0"/>
        <v>323018</v>
      </c>
    </row>
    <row r="37" spans="1:8" ht="15.75">
      <c r="A37" s="76"/>
      <c r="B37" s="276" t="s">
        <v>219</v>
      </c>
      <c r="C37" s="277"/>
      <c r="D37" s="277"/>
      <c r="E37" s="14"/>
      <c r="F37" s="79"/>
      <c r="G37" s="155">
        <v>0</v>
      </c>
      <c r="H37" s="96">
        <f t="shared" si="0"/>
        <v>0</v>
      </c>
    </row>
    <row r="38" spans="1:8" ht="15.75" customHeight="1" hidden="1">
      <c r="A38" s="76"/>
      <c r="B38" s="258"/>
      <c r="C38" s="259"/>
      <c r="D38" s="259"/>
      <c r="E38" s="14"/>
      <c r="F38" s="79"/>
      <c r="G38" s="21"/>
      <c r="H38" s="96">
        <f t="shared" si="0"/>
        <v>0</v>
      </c>
    </row>
    <row r="39" spans="1:8" ht="15.75" hidden="1">
      <c r="A39" s="76"/>
      <c r="B39" s="258"/>
      <c r="C39" s="259"/>
      <c r="D39" s="259"/>
      <c r="E39" s="14"/>
      <c r="F39" s="79"/>
      <c r="G39" s="21"/>
      <c r="H39" s="96"/>
    </row>
    <row r="40" spans="1:8" ht="15.75" customHeight="1">
      <c r="A40" s="71" t="s">
        <v>231</v>
      </c>
      <c r="B40" s="237" t="s">
        <v>226</v>
      </c>
      <c r="C40" s="238"/>
      <c r="D40" s="238"/>
      <c r="E40" s="147" t="s">
        <v>227</v>
      </c>
      <c r="F40" s="27" t="s">
        <v>181</v>
      </c>
      <c r="G40" s="24">
        <v>1.54</v>
      </c>
      <c r="H40" s="96">
        <f t="shared" si="0"/>
        <v>35995</v>
      </c>
    </row>
    <row r="41" spans="1:8" ht="15.75">
      <c r="A41" s="71" t="s">
        <v>232</v>
      </c>
      <c r="B41" s="261" t="s">
        <v>182</v>
      </c>
      <c r="C41" s="261"/>
      <c r="D41" s="261"/>
      <c r="E41" s="261"/>
      <c r="F41" s="261"/>
      <c r="G41" s="21">
        <f>SUM(G36:G40)</f>
        <v>15.36</v>
      </c>
      <c r="H41" s="96">
        <f t="shared" si="0"/>
        <v>359013</v>
      </c>
    </row>
    <row r="42" spans="1:8" ht="16.5" thickBot="1">
      <c r="A42" s="98" t="s">
        <v>95</v>
      </c>
      <c r="B42" s="262" t="s">
        <v>220</v>
      </c>
      <c r="C42" s="263"/>
      <c r="D42" s="264"/>
      <c r="E42" s="148" t="s">
        <v>227</v>
      </c>
      <c r="F42" s="100" t="s">
        <v>181</v>
      </c>
      <c r="G42" s="154">
        <v>0.8</v>
      </c>
      <c r="H42" s="156">
        <f t="shared" si="0"/>
        <v>18699</v>
      </c>
    </row>
    <row r="43" spans="1:8" ht="15.75" customHeight="1">
      <c r="A43" s="140"/>
      <c r="B43" s="278" t="s">
        <v>238</v>
      </c>
      <c r="C43" s="278"/>
      <c r="D43" s="278"/>
      <c r="E43" s="278"/>
      <c r="F43" s="142"/>
      <c r="G43" s="143"/>
      <c r="H43" s="144"/>
    </row>
    <row r="45" ht="15.75">
      <c r="B45" s="162" t="s">
        <v>245</v>
      </c>
    </row>
    <row r="47" spans="2:6" ht="15.75">
      <c r="B47" s="37" t="s">
        <v>233</v>
      </c>
      <c r="C47" s="37"/>
      <c r="D47" s="37"/>
      <c r="E47" s="37" t="s">
        <v>235</v>
      </c>
      <c r="F47" s="37"/>
    </row>
    <row r="49" spans="2:5" ht="15.75">
      <c r="B49" s="37" t="s">
        <v>234</v>
      </c>
      <c r="C49" s="37"/>
      <c r="D49" s="37"/>
      <c r="E49" t="s">
        <v>236</v>
      </c>
    </row>
  </sheetData>
  <sheetProtection/>
  <mergeCells count="34">
    <mergeCell ref="B34:D34"/>
    <mergeCell ref="D1:H1"/>
    <mergeCell ref="A4:H4"/>
    <mergeCell ref="B6:E6"/>
    <mergeCell ref="B13:D13"/>
    <mergeCell ref="B30:D30"/>
    <mergeCell ref="B31:D31"/>
    <mergeCell ref="B32:D32"/>
    <mergeCell ref="B33:D33"/>
    <mergeCell ref="B22:D22"/>
    <mergeCell ref="B35:D35"/>
    <mergeCell ref="B36:D36"/>
    <mergeCell ref="B37:D37"/>
    <mergeCell ref="B43:E43"/>
    <mergeCell ref="B41:F41"/>
    <mergeCell ref="B42:D42"/>
    <mergeCell ref="B38:D38"/>
    <mergeCell ref="B39:D39"/>
    <mergeCell ref="B40:D40"/>
    <mergeCell ref="B17:F17"/>
    <mergeCell ref="B19:D19"/>
    <mergeCell ref="B20:D20"/>
    <mergeCell ref="B23:D23"/>
    <mergeCell ref="B12:D12"/>
    <mergeCell ref="B14:F14"/>
    <mergeCell ref="B15:F15"/>
    <mergeCell ref="B16:F16"/>
    <mergeCell ref="B21:D21"/>
    <mergeCell ref="B27:D27"/>
    <mergeCell ref="B28:D28"/>
    <mergeCell ref="B29:D29"/>
    <mergeCell ref="B24:D24"/>
    <mergeCell ref="B25:D25"/>
    <mergeCell ref="B26:D26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L1" sqref="L1:M16384"/>
    </sheetView>
  </sheetViews>
  <sheetFormatPr defaultColWidth="9.00390625" defaultRowHeight="15.75"/>
  <cols>
    <col min="1" max="1" width="6.75390625" style="0" customWidth="1"/>
    <col min="2" max="2" width="27.00390625" style="0" customWidth="1"/>
    <col min="3" max="3" width="4.25390625" style="0" customWidth="1"/>
    <col min="4" max="4" width="20.25390625" style="0" customWidth="1"/>
    <col min="5" max="5" width="17.25390625" style="0" customWidth="1"/>
    <col min="6" max="6" width="22.50390625" style="0" hidden="1" customWidth="1"/>
    <col min="7" max="7" width="9.375" style="0" hidden="1" customWidth="1"/>
    <col min="8" max="8" width="9.875" style="0" hidden="1" customWidth="1"/>
    <col min="9" max="9" width="12.75390625" style="0" hidden="1" customWidth="1"/>
    <col min="10" max="10" width="11.625" style="0" hidden="1" customWidth="1"/>
    <col min="11" max="11" width="23.50390625" style="0" customWidth="1"/>
    <col min="12" max="12" width="1.875" style="0" hidden="1" customWidth="1"/>
    <col min="13" max="13" width="8.75390625" style="0" hidden="1" customWidth="1"/>
  </cols>
  <sheetData>
    <row r="1" spans="1:11" ht="122.25" customHeight="1">
      <c r="A1" s="230" t="s">
        <v>259</v>
      </c>
      <c r="B1" s="230"/>
      <c r="C1" s="230"/>
      <c r="D1" s="230"/>
      <c r="E1" s="230"/>
      <c r="F1" s="230"/>
      <c r="G1" s="230"/>
      <c r="H1" s="230"/>
      <c r="I1" s="230"/>
      <c r="J1" s="230"/>
      <c r="K1" s="163"/>
    </row>
    <row r="2" spans="1:11" ht="65.25" customHeight="1">
      <c r="A2" s="231" t="s">
        <v>267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2:10" ht="36" customHeight="1">
      <c r="B3" s="1" t="s">
        <v>83</v>
      </c>
      <c r="C3" s="2"/>
      <c r="D3" s="164" t="s">
        <v>246</v>
      </c>
      <c r="E3" s="4">
        <v>4674.65</v>
      </c>
      <c r="F3" s="2"/>
      <c r="J3" s="81"/>
    </row>
    <row r="4" spans="2:6" ht="15.75">
      <c r="B4" s="3" t="s">
        <v>1</v>
      </c>
      <c r="C4" s="28">
        <v>9</v>
      </c>
      <c r="D4" s="2" t="s">
        <v>2</v>
      </c>
      <c r="E4" s="4">
        <v>144</v>
      </c>
      <c r="F4" s="2"/>
    </row>
    <row r="5" spans="2:10" ht="15.75">
      <c r="B5" s="3" t="s">
        <v>3</v>
      </c>
      <c r="C5" s="4">
        <v>1</v>
      </c>
      <c r="D5" s="2" t="s">
        <v>4</v>
      </c>
      <c r="E5" s="201" t="s">
        <v>16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01" t="s">
        <v>16</v>
      </c>
      <c r="F6" s="2"/>
      <c r="G6" s="2"/>
      <c r="H6" s="2"/>
    </row>
    <row r="7" spans="1:13" ht="78.75">
      <c r="A7" s="22" t="s">
        <v>60</v>
      </c>
      <c r="B7" s="255" t="s">
        <v>148</v>
      </c>
      <c r="C7" s="256"/>
      <c r="D7" s="257"/>
      <c r="E7" s="11" t="s">
        <v>6</v>
      </c>
      <c r="F7" s="11" t="s">
        <v>7</v>
      </c>
      <c r="G7" s="36" t="s">
        <v>247</v>
      </c>
      <c r="H7" s="165" t="s">
        <v>257</v>
      </c>
      <c r="I7" s="241" t="s">
        <v>258</v>
      </c>
      <c r="J7" s="242"/>
      <c r="K7" s="243"/>
      <c r="L7" s="49">
        <v>7</v>
      </c>
      <c r="M7" s="166" t="s">
        <v>248</v>
      </c>
    </row>
    <row r="8" spans="1:11" ht="15.75" customHeight="1">
      <c r="A8" s="23">
        <v>1</v>
      </c>
      <c r="B8" s="223"/>
      <c r="C8" s="224"/>
      <c r="D8" s="224"/>
      <c r="E8" s="224"/>
      <c r="F8" s="225"/>
      <c r="G8" s="167"/>
      <c r="H8" s="167"/>
      <c r="I8" s="168" t="s">
        <v>186</v>
      </c>
      <c r="J8" s="106" t="s">
        <v>187</v>
      </c>
      <c r="K8" s="106" t="s">
        <v>188</v>
      </c>
    </row>
    <row r="9" spans="1:11" ht="15.75" customHeight="1">
      <c r="A9" s="23"/>
      <c r="B9" s="223" t="s">
        <v>149</v>
      </c>
      <c r="C9" s="224"/>
      <c r="D9" s="224"/>
      <c r="E9" s="224"/>
      <c r="F9" s="225"/>
      <c r="G9" s="50"/>
      <c r="H9" s="50"/>
      <c r="I9" s="50"/>
      <c r="J9" s="50"/>
      <c r="K9" s="106"/>
    </row>
    <row r="10" spans="1:11" ht="29.25" customHeight="1">
      <c r="A10" s="82"/>
      <c r="B10" s="292" t="s">
        <v>150</v>
      </c>
      <c r="C10" s="292"/>
      <c r="D10" s="292"/>
      <c r="E10" s="292"/>
      <c r="F10" s="292"/>
      <c r="G10" s="169"/>
      <c r="H10" s="169"/>
      <c r="I10" s="170">
        <v>452801.25</v>
      </c>
      <c r="J10" s="72"/>
      <c r="K10" s="171">
        <f>I10+J10</f>
        <v>452801.25</v>
      </c>
    </row>
    <row r="11" spans="1:11" ht="15.75" customHeight="1">
      <c r="A11" s="82"/>
      <c r="B11" s="292" t="s">
        <v>151</v>
      </c>
      <c r="C11" s="292"/>
      <c r="D11" s="292"/>
      <c r="E11" s="292"/>
      <c r="F11" s="292"/>
      <c r="G11" s="169"/>
      <c r="H11" s="169"/>
      <c r="I11" s="172">
        <v>20997.43</v>
      </c>
      <c r="J11" s="72"/>
      <c r="K11" s="171">
        <f>I11+J11</f>
        <v>20997.43</v>
      </c>
    </row>
    <row r="12" spans="1:11" ht="15.75" customHeight="1">
      <c r="A12" s="23"/>
      <c r="B12" s="292" t="s">
        <v>152</v>
      </c>
      <c r="C12" s="292"/>
      <c r="D12" s="292"/>
      <c r="E12" s="292"/>
      <c r="F12" s="292"/>
      <c r="G12" s="169"/>
      <c r="H12" s="169"/>
      <c r="I12" s="170"/>
      <c r="J12" s="173"/>
      <c r="K12" s="171">
        <f>I12+J12</f>
        <v>0</v>
      </c>
    </row>
    <row r="13" spans="1:11" ht="15.75" customHeight="1">
      <c r="A13" s="23"/>
      <c r="B13" s="292" t="s">
        <v>249</v>
      </c>
      <c r="C13" s="292"/>
      <c r="D13" s="292"/>
      <c r="E13" s="292"/>
      <c r="F13" s="292"/>
      <c r="G13" s="169"/>
      <c r="H13" s="169"/>
      <c r="I13" s="170">
        <v>0</v>
      </c>
      <c r="J13" s="173">
        <v>175830</v>
      </c>
      <c r="K13" s="171">
        <f>I13+J13</f>
        <v>175830</v>
      </c>
    </row>
    <row r="14" spans="1:11" ht="15.75" customHeight="1">
      <c r="A14" s="23"/>
      <c r="B14" s="228" t="s">
        <v>153</v>
      </c>
      <c r="C14" s="228"/>
      <c r="D14" s="228"/>
      <c r="E14" s="228"/>
      <c r="F14" s="228"/>
      <c r="G14" s="169"/>
      <c r="H14" s="169"/>
      <c r="I14" s="42">
        <f>SUM(I10:I12)</f>
        <v>473798.68</v>
      </c>
      <c r="J14" s="173">
        <f>J12+J13</f>
        <v>175830</v>
      </c>
      <c r="K14" s="42">
        <f>SUM(K10:K13)</f>
        <v>649628.6799999999</v>
      </c>
    </row>
    <row r="15" spans="1:11" ht="15.75" customHeight="1">
      <c r="A15" s="23">
        <v>2</v>
      </c>
      <c r="B15" s="294" t="s">
        <v>65</v>
      </c>
      <c r="C15" s="294"/>
      <c r="D15" s="294"/>
      <c r="E15" s="294"/>
      <c r="F15" s="294"/>
      <c r="G15" s="169"/>
      <c r="H15" s="169"/>
      <c r="I15" s="170"/>
      <c r="J15" s="72"/>
      <c r="K15" s="54"/>
    </row>
    <row r="16" spans="1:11" ht="18.75" customHeight="1">
      <c r="A16" s="23" t="s">
        <v>142</v>
      </c>
      <c r="B16" s="174" t="s">
        <v>66</v>
      </c>
      <c r="C16" s="174"/>
      <c r="D16" s="174"/>
      <c r="E16" s="174"/>
      <c r="F16" s="92"/>
      <c r="G16" s="168"/>
      <c r="H16" s="168"/>
      <c r="I16" s="168"/>
      <c r="J16" s="103"/>
      <c r="K16" s="106"/>
    </row>
    <row r="17" spans="1:11" ht="21" customHeight="1">
      <c r="A17" s="26"/>
      <c r="B17" s="293" t="s">
        <v>250</v>
      </c>
      <c r="C17" s="293"/>
      <c r="D17" s="293"/>
      <c r="E17" s="84" t="s">
        <v>32</v>
      </c>
      <c r="F17" s="175" t="s">
        <v>24</v>
      </c>
      <c r="G17" s="176">
        <v>1.22</v>
      </c>
      <c r="H17" s="176">
        <v>1.29</v>
      </c>
      <c r="I17" s="177">
        <f>ROUND($E$3*G17*6,2)+ROUND($E$3*H17*($L$7-6),2)</f>
        <v>40248.740000000005</v>
      </c>
      <c r="J17" s="178"/>
      <c r="K17" s="179">
        <f>SUM(I17:J17)</f>
        <v>40248.740000000005</v>
      </c>
    </row>
    <row r="18" spans="1:11" ht="15.75" customHeight="1">
      <c r="A18" s="23"/>
      <c r="B18" s="290" t="s">
        <v>17</v>
      </c>
      <c r="C18" s="290"/>
      <c r="D18" s="290"/>
      <c r="E18" s="84" t="s">
        <v>32</v>
      </c>
      <c r="F18" s="175" t="s">
        <v>19</v>
      </c>
      <c r="G18" s="176">
        <v>0.28</v>
      </c>
      <c r="H18" s="176">
        <v>0.3</v>
      </c>
      <c r="I18" s="177">
        <f>ROUND($E$3*G18*6,2)+ROUND($E$3*H18*($L$7-6),2)</f>
        <v>9255.81</v>
      </c>
      <c r="J18" s="178"/>
      <c r="K18" s="179">
        <f>SUM(I18:J18)</f>
        <v>9255.81</v>
      </c>
    </row>
    <row r="19" spans="1:11" ht="15.75" customHeight="1">
      <c r="A19" s="23"/>
      <c r="B19" s="289" t="s">
        <v>23</v>
      </c>
      <c r="C19" s="289"/>
      <c r="D19" s="289"/>
      <c r="E19" s="87" t="s">
        <v>154</v>
      </c>
      <c r="F19" s="27" t="s">
        <v>20</v>
      </c>
      <c r="G19" s="176">
        <v>0.99</v>
      </c>
      <c r="H19" s="176">
        <v>1.05</v>
      </c>
      <c r="I19" s="177">
        <v>17460.93</v>
      </c>
      <c r="J19" s="178"/>
      <c r="K19" s="180">
        <f>I19+J19</f>
        <v>17460.93</v>
      </c>
    </row>
    <row r="20" spans="1:11" ht="15.75" customHeight="1">
      <c r="A20" s="26"/>
      <c r="B20" s="293" t="s">
        <v>31</v>
      </c>
      <c r="C20" s="293"/>
      <c r="D20" s="293"/>
      <c r="E20" s="88" t="s">
        <v>9</v>
      </c>
      <c r="F20" s="181" t="s">
        <v>10</v>
      </c>
      <c r="G20" s="176">
        <v>0.51</v>
      </c>
      <c r="H20" s="176">
        <v>0.54</v>
      </c>
      <c r="I20" s="177">
        <f>ROUND($E$3*G20*6,2)+ROUND($E$3*H20*($L$7-6),2)</f>
        <v>16828.74</v>
      </c>
      <c r="J20" s="178"/>
      <c r="K20" s="179">
        <f>SUM(I20:J20)</f>
        <v>16828.74</v>
      </c>
    </row>
    <row r="21" spans="1:11" ht="51">
      <c r="A21" s="23"/>
      <c r="B21" s="289" t="s">
        <v>27</v>
      </c>
      <c r="C21" s="289"/>
      <c r="D21" s="289"/>
      <c r="E21" s="87" t="s">
        <v>155</v>
      </c>
      <c r="F21" s="27" t="s">
        <v>25</v>
      </c>
      <c r="G21" s="176">
        <v>0.12</v>
      </c>
      <c r="H21" s="176">
        <v>0.13</v>
      </c>
      <c r="I21" s="177">
        <v>3116</v>
      </c>
      <c r="J21" s="178"/>
      <c r="K21" s="180">
        <f>I21+J21</f>
        <v>3116</v>
      </c>
    </row>
    <row r="22" spans="1:11" ht="27.75" customHeight="1">
      <c r="A22" s="26"/>
      <c r="B22" s="289" t="s">
        <v>11</v>
      </c>
      <c r="C22" s="289"/>
      <c r="D22" s="289"/>
      <c r="E22" s="87" t="s">
        <v>9</v>
      </c>
      <c r="F22" s="27" t="s">
        <v>12</v>
      </c>
      <c r="G22" s="176">
        <v>2.22</v>
      </c>
      <c r="H22" s="176">
        <v>2.35</v>
      </c>
      <c r="I22" s="177">
        <f>ROUND($E$3*G22*6,2)+ROUND($E$3*H22*($L$7-6),2)</f>
        <v>73251.76999999999</v>
      </c>
      <c r="J22" s="178"/>
      <c r="K22" s="179">
        <f>SUM(I22:J22)</f>
        <v>73251.76999999999</v>
      </c>
    </row>
    <row r="23" spans="1:11" ht="15.75" customHeight="1">
      <c r="A23" s="26"/>
      <c r="B23" s="289" t="s">
        <v>26</v>
      </c>
      <c r="C23" s="282"/>
      <c r="D23" s="282"/>
      <c r="E23" s="89" t="s">
        <v>13</v>
      </c>
      <c r="F23" s="182" t="s">
        <v>14</v>
      </c>
      <c r="G23" s="176">
        <v>0.05</v>
      </c>
      <c r="H23" s="176">
        <v>0.05</v>
      </c>
      <c r="I23" s="177">
        <v>4143.6</v>
      </c>
      <c r="J23" s="178"/>
      <c r="K23" s="180">
        <f>I23+J23</f>
        <v>4143.6</v>
      </c>
    </row>
    <row r="24" spans="1:11" ht="54" customHeight="1">
      <c r="A24" s="23"/>
      <c r="B24" s="289" t="s">
        <v>71</v>
      </c>
      <c r="C24" s="289"/>
      <c r="D24" s="289"/>
      <c r="E24" s="84" t="s">
        <v>237</v>
      </c>
      <c r="F24" s="113" t="s">
        <v>78</v>
      </c>
      <c r="G24" s="176">
        <v>2.15</v>
      </c>
      <c r="H24" s="176">
        <v>2.28</v>
      </c>
      <c r="I24" s="177">
        <f aca="true" t="shared" si="0" ref="I24:I29">ROUND($E$3*G24*6,2)+ROUND($E$3*H24*($L$7-6),2)</f>
        <v>70961.19</v>
      </c>
      <c r="J24" s="178"/>
      <c r="K24" s="179">
        <f>SUM(I24:J24)</f>
        <v>70961.19</v>
      </c>
    </row>
    <row r="25" spans="1:11" ht="58.5" customHeight="1">
      <c r="A25" s="23"/>
      <c r="B25" s="290" t="s">
        <v>15</v>
      </c>
      <c r="C25" s="290"/>
      <c r="D25" s="290"/>
      <c r="E25" s="84" t="s">
        <v>251</v>
      </c>
      <c r="F25" s="113" t="s">
        <v>78</v>
      </c>
      <c r="G25" s="176">
        <v>0.53</v>
      </c>
      <c r="H25" s="176">
        <v>0.56</v>
      </c>
      <c r="I25" s="177">
        <v>14827.56</v>
      </c>
      <c r="J25" s="178"/>
      <c r="K25" s="179">
        <f>I25+J25</f>
        <v>14827.56</v>
      </c>
    </row>
    <row r="26" spans="1:11" ht="31.5" customHeight="1">
      <c r="A26" s="23"/>
      <c r="B26" s="291" t="s">
        <v>252</v>
      </c>
      <c r="C26" s="277"/>
      <c r="D26" s="287"/>
      <c r="E26" s="84" t="s">
        <v>35</v>
      </c>
      <c r="F26" s="113" t="s">
        <v>78</v>
      </c>
      <c r="G26" s="183">
        <f>3.52-G27-G28</f>
        <v>3.52</v>
      </c>
      <c r="H26" s="176">
        <f>3.73-H27-H28</f>
        <v>3.73</v>
      </c>
      <c r="I26" s="177">
        <f t="shared" si="0"/>
        <v>116165.05</v>
      </c>
      <c r="J26" s="184"/>
      <c r="K26" s="179">
        <f>SUM(I26:J26)</f>
        <v>116165.05</v>
      </c>
    </row>
    <row r="27" spans="1:14" ht="17.25" customHeight="1">
      <c r="A27" s="26"/>
      <c r="B27" s="289" t="s">
        <v>156</v>
      </c>
      <c r="C27" s="289"/>
      <c r="D27" s="289"/>
      <c r="E27" s="87" t="s">
        <v>9</v>
      </c>
      <c r="F27" s="113" t="s">
        <v>78</v>
      </c>
      <c r="G27" s="183">
        <v>0</v>
      </c>
      <c r="H27" s="176">
        <v>0</v>
      </c>
      <c r="I27" s="177">
        <f t="shared" si="0"/>
        <v>0</v>
      </c>
      <c r="J27" s="184"/>
      <c r="K27" s="179">
        <f>SUM(I27:J27)</f>
        <v>0</v>
      </c>
      <c r="N27" t="s">
        <v>147</v>
      </c>
    </row>
    <row r="28" spans="1:11" ht="15.75">
      <c r="A28" s="23"/>
      <c r="B28" s="289" t="s">
        <v>157</v>
      </c>
      <c r="C28" s="289"/>
      <c r="D28" s="289"/>
      <c r="E28" s="87" t="s">
        <v>9</v>
      </c>
      <c r="F28" s="113" t="s">
        <v>78</v>
      </c>
      <c r="G28" s="183">
        <v>0</v>
      </c>
      <c r="H28" s="176">
        <v>0</v>
      </c>
      <c r="I28" s="177">
        <f t="shared" si="0"/>
        <v>0</v>
      </c>
      <c r="J28" s="184"/>
      <c r="K28" s="179">
        <f>SUM(I28:J28)</f>
        <v>0</v>
      </c>
    </row>
    <row r="29" spans="1:11" ht="25.5">
      <c r="A29" s="23"/>
      <c r="B29" s="282" t="s">
        <v>21</v>
      </c>
      <c r="C29" s="282"/>
      <c r="D29" s="282"/>
      <c r="E29" s="87" t="s">
        <v>35</v>
      </c>
      <c r="F29" s="113" t="s">
        <v>78</v>
      </c>
      <c r="G29" s="182">
        <v>1.45</v>
      </c>
      <c r="H29" s="176">
        <v>1.54</v>
      </c>
      <c r="I29" s="177">
        <f t="shared" si="0"/>
        <v>47868.42</v>
      </c>
      <c r="J29" s="178"/>
      <c r="K29" s="179">
        <f>SUM(I29:J29)</f>
        <v>47868.42</v>
      </c>
    </row>
    <row r="30" spans="1:11" ht="15.75" customHeight="1">
      <c r="A30" s="23"/>
      <c r="B30" s="283"/>
      <c r="C30" s="284"/>
      <c r="D30" s="285"/>
      <c r="E30" s="87"/>
      <c r="F30" s="113"/>
      <c r="G30" s="182"/>
      <c r="H30" s="182"/>
      <c r="I30" s="185"/>
      <c r="J30" s="173"/>
      <c r="K30" s="186"/>
    </row>
    <row r="31" spans="1:11" ht="15.75">
      <c r="A31" s="23"/>
      <c r="B31" s="286" t="s">
        <v>30</v>
      </c>
      <c r="C31" s="286"/>
      <c r="D31" s="286"/>
      <c r="E31" s="23"/>
      <c r="F31" s="113"/>
      <c r="G31" s="24">
        <f>SUM(G17:G29)</f>
        <v>13.039999999999997</v>
      </c>
      <c r="H31" s="24">
        <f>SUM(H17:H29)</f>
        <v>13.82</v>
      </c>
      <c r="I31" s="118">
        <f>SUM(I17:I30)</f>
        <v>414127.81</v>
      </c>
      <c r="J31" s="110"/>
      <c r="K31" s="118">
        <f>SUM(K17:K30)</f>
        <v>414127.81</v>
      </c>
    </row>
    <row r="32" spans="1:11" ht="16.5" customHeight="1" hidden="1">
      <c r="A32" s="23"/>
      <c r="B32" s="276" t="s">
        <v>191</v>
      </c>
      <c r="C32" s="277"/>
      <c r="D32" s="287"/>
      <c r="E32" s="87" t="s">
        <v>9</v>
      </c>
      <c r="F32" s="113"/>
      <c r="G32" s="182"/>
      <c r="H32" s="182"/>
      <c r="I32" s="185"/>
      <c r="J32" s="173"/>
      <c r="K32" s="186"/>
    </row>
    <row r="33" spans="1:11" ht="25.5" hidden="1">
      <c r="A33" s="23"/>
      <c r="B33" s="276" t="s">
        <v>192</v>
      </c>
      <c r="C33" s="277"/>
      <c r="D33" s="287"/>
      <c r="E33" s="84" t="s">
        <v>35</v>
      </c>
      <c r="F33" s="113"/>
      <c r="G33" s="182"/>
      <c r="H33" s="182"/>
      <c r="I33" s="185"/>
      <c r="J33" s="173"/>
      <c r="K33" s="186"/>
    </row>
    <row r="34" spans="1:11" ht="15.75">
      <c r="A34" s="23"/>
      <c r="B34" s="283"/>
      <c r="C34" s="284"/>
      <c r="D34" s="285"/>
      <c r="E34" s="87"/>
      <c r="F34" s="113"/>
      <c r="G34" s="182"/>
      <c r="H34" s="182"/>
      <c r="I34" s="185"/>
      <c r="J34" s="173"/>
      <c r="K34" s="186"/>
    </row>
    <row r="35" spans="1:11" ht="16.5" customHeight="1">
      <c r="A35" s="23" t="s">
        <v>143</v>
      </c>
      <c r="B35" s="269" t="s">
        <v>253</v>
      </c>
      <c r="C35" s="269"/>
      <c r="D35" s="269"/>
      <c r="E35" s="187" t="s">
        <v>227</v>
      </c>
      <c r="F35" s="113" t="s">
        <v>78</v>
      </c>
      <c r="G35" s="24">
        <f>I35/E3/6</f>
        <v>1.4691830760948237</v>
      </c>
      <c r="H35" s="24">
        <f>I35/E3/2</f>
        <v>4.407549228284471</v>
      </c>
      <c r="I35" s="112">
        <v>41207.5</v>
      </c>
      <c r="J35" s="188"/>
      <c r="K35" s="118">
        <f>SUM(I35:J35)</f>
        <v>41207.5</v>
      </c>
    </row>
    <row r="36" spans="1:14" ht="15.75" customHeight="1">
      <c r="A36" s="25"/>
      <c r="B36" s="240" t="s">
        <v>69</v>
      </c>
      <c r="C36" s="240"/>
      <c r="D36" s="240"/>
      <c r="E36" s="240"/>
      <c r="F36" s="240"/>
      <c r="G36" s="24">
        <f>SUM(G31:G35)</f>
        <v>14.509183076094821</v>
      </c>
      <c r="H36" s="24">
        <f>SUM(H31:H35)</f>
        <v>18.22754922828447</v>
      </c>
      <c r="I36" s="189">
        <f>SUM(I31:I35)</f>
        <v>455335.31</v>
      </c>
      <c r="J36" s="190"/>
      <c r="K36" s="190">
        <f>SUM(K31:K35)</f>
        <v>455335.31</v>
      </c>
      <c r="N36" t="s">
        <v>147</v>
      </c>
    </row>
    <row r="37" spans="1:11" ht="15.75" customHeight="1">
      <c r="A37" s="23" t="s">
        <v>144</v>
      </c>
      <c r="B37" s="288" t="s">
        <v>254</v>
      </c>
      <c r="C37" s="288"/>
      <c r="D37" s="288"/>
      <c r="E37" s="187" t="s">
        <v>227</v>
      </c>
      <c r="F37" s="191"/>
      <c r="G37" s="24">
        <f>I37/E3/6</f>
        <v>0</v>
      </c>
      <c r="H37" s="24">
        <f>J37/E3/6</f>
        <v>0</v>
      </c>
      <c r="I37" s="93">
        <v>0</v>
      </c>
      <c r="J37" s="93"/>
      <c r="K37" s="192">
        <f>SUM(I37:J37)</f>
        <v>0</v>
      </c>
    </row>
    <row r="38" spans="1:11" ht="15.75" customHeight="1">
      <c r="A38" s="25"/>
      <c r="B38" s="240" t="s">
        <v>160</v>
      </c>
      <c r="C38" s="240"/>
      <c r="D38" s="240"/>
      <c r="E38" s="240"/>
      <c r="F38" s="240"/>
      <c r="G38" s="24">
        <f>SUM(G36:G37)</f>
        <v>14.509183076094821</v>
      </c>
      <c r="H38" s="24">
        <f>SUM(H36:H37)</f>
        <v>18.22754922828447</v>
      </c>
      <c r="I38" s="189">
        <f>SUM(I36:I37)</f>
        <v>455335.31</v>
      </c>
      <c r="J38" s="190"/>
      <c r="K38" s="190">
        <f>SUM(K36:K37)</f>
        <v>455335.31</v>
      </c>
    </row>
    <row r="39" spans="1:11" ht="26.25" customHeight="1">
      <c r="A39" s="23">
        <v>3</v>
      </c>
      <c r="B39" s="281" t="s">
        <v>260</v>
      </c>
      <c r="C39" s="281"/>
      <c r="D39" s="281"/>
      <c r="E39" s="281"/>
      <c r="F39" s="193"/>
      <c r="G39" s="193"/>
      <c r="H39" s="194"/>
      <c r="I39" s="177">
        <f>I14-I38</f>
        <v>18463.369999999995</v>
      </c>
      <c r="J39" s="177"/>
      <c r="K39" s="110">
        <f>K14-K38</f>
        <v>194293.36999999994</v>
      </c>
    </row>
    <row r="40" spans="2:11" ht="15" customHeight="1">
      <c r="B40" s="140"/>
      <c r="C40" s="161"/>
      <c r="D40" s="161"/>
      <c r="E40" s="161"/>
      <c r="F40" s="161"/>
      <c r="G40" s="161"/>
      <c r="H40" s="161"/>
      <c r="I40" s="195"/>
      <c r="J40" s="196"/>
      <c r="K40" s="197"/>
    </row>
    <row r="41" spans="3:7" ht="15.75" customHeight="1">
      <c r="C41" s="37"/>
      <c r="G41" s="37"/>
    </row>
    <row r="42" spans="1:7" ht="15.75">
      <c r="A42" s="68" t="s">
        <v>197</v>
      </c>
      <c r="D42" s="68"/>
      <c r="E42" s="68"/>
      <c r="F42" s="37"/>
      <c r="G42" s="37"/>
    </row>
    <row r="43" spans="1:5" ht="15.75">
      <c r="A43" s="68"/>
      <c r="D43" s="68"/>
      <c r="E43" s="68"/>
    </row>
    <row r="44" spans="1:6" ht="15.75">
      <c r="A44" s="198" t="s">
        <v>255</v>
      </c>
      <c r="D44" s="198"/>
      <c r="E44" s="69"/>
      <c r="F44" s="199" t="s">
        <v>256</v>
      </c>
    </row>
    <row r="45" spans="1:5" ht="15.75" customHeight="1">
      <c r="A45" s="198" t="s">
        <v>86</v>
      </c>
      <c r="D45" s="200"/>
      <c r="E45" s="200"/>
    </row>
  </sheetData>
  <sheetProtection/>
  <mergeCells count="35">
    <mergeCell ref="B14:F14"/>
    <mergeCell ref="B15:F15"/>
    <mergeCell ref="A1:J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37:D37"/>
    <mergeCell ref="B23:D23"/>
    <mergeCell ref="B24:D24"/>
    <mergeCell ref="B25:D25"/>
    <mergeCell ref="B26:D26"/>
    <mergeCell ref="B38:F38"/>
    <mergeCell ref="B39:E39"/>
    <mergeCell ref="B29:D29"/>
    <mergeCell ref="B30:D30"/>
    <mergeCell ref="B31:D31"/>
    <mergeCell ref="B32:D32"/>
    <mergeCell ref="B33:D33"/>
    <mergeCell ref="B34:D34"/>
    <mergeCell ref="B35:D35"/>
    <mergeCell ref="B36:F36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2012-11-19T11:08:58Z</cp:lastPrinted>
  <dcterms:created xsi:type="dcterms:W3CDTF">2009-08-26T03:25:10Z</dcterms:created>
  <dcterms:modified xsi:type="dcterms:W3CDTF">2013-03-25T07:59:58Z</dcterms:modified>
  <cp:category/>
  <cp:version/>
  <cp:contentType/>
  <cp:contentStatus/>
</cp:coreProperties>
</file>